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travis.hinck\Documents\IL TRM project\PY19 Updates\GSHP pilot\"/>
    </mc:Choice>
  </mc:AlternateContent>
  <xr:revisionPtr revIDLastSave="0" documentId="13_ncr:1_{C6F6C00B-93A6-4B3F-844E-6163B859CD3E}" xr6:coauthVersionLast="41" xr6:coauthVersionMax="41" xr10:uidLastSave="{00000000-0000-0000-0000-000000000000}"/>
  <bookViews>
    <workbookView xWindow="510" yWindow="375" windowWidth="24135" windowHeight="14100" xr2:uid="{00000000-000D-0000-FFFF-FFFF00000000}"/>
  </bookViews>
  <sheets>
    <sheet name="Inputs" sheetId="3" r:id="rId1"/>
    <sheet name="Outputs-Savings" sheetId="7" r:id="rId2"/>
    <sheet name="lookups" sheetId="2" state="hidden" r:id="rId3"/>
    <sheet name="electric calculations" sheetId="4" state="hidden" r:id="rId4"/>
    <sheet name="gas calculations" sheetId="5" state="hidden" r:id="rId5"/>
    <sheet name="DHW calculations" sheetId="8" state="hidden" r:id="rId6"/>
    <sheet name="Tables" sheetId="6" state="hidden" r:id="rId7"/>
  </sheets>
  <definedNames>
    <definedName name="_ftn1" localSheetId="6">Tables!$B$33</definedName>
    <definedName name="_ftn2" localSheetId="6">Tables!$B$34</definedName>
    <definedName name="_ftn3" localSheetId="6">Tables!$B$35</definedName>
    <definedName name="_ftnref1" localSheetId="6">Tables!$B$26</definedName>
    <definedName name="_ftnref2" localSheetId="6">Tables!$B$27</definedName>
    <definedName name="_ftnref3" localSheetId="6">Tables!$B$28</definedName>
    <definedName name="_Ref512966235" localSheetId="6">Tables!$B$93</definedName>
    <definedName name="_Ref512973997" localSheetId="6">Tables!$B$175</definedName>
    <definedName name="_Ref512974028" localSheetId="6">Tables!$B$156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6" i="3" l="1"/>
  <c r="K53" i="3"/>
  <c r="E36" i="3" l="1"/>
  <c r="B39" i="3" l="1"/>
  <c r="B15" i="2"/>
  <c r="D69" i="3"/>
  <c r="E69" i="3"/>
  <c r="F76" i="3"/>
  <c r="E76" i="3"/>
  <c r="F75" i="3"/>
  <c r="E75" i="3"/>
  <c r="E68" i="3"/>
  <c r="F68" i="3"/>
  <c r="D22" i="5"/>
  <c r="C156" i="2"/>
  <c r="O297" i="6" s="1"/>
  <c r="C157" i="2"/>
  <c r="C155" i="2"/>
  <c r="H33" i="3"/>
  <c r="B125" i="2"/>
  <c r="B124" i="2"/>
  <c r="B123" i="2"/>
  <c r="B122" i="2"/>
  <c r="B164" i="2"/>
  <c r="B165" i="2"/>
  <c r="B166" i="2"/>
  <c r="B167" i="2"/>
  <c r="B168" i="2"/>
  <c r="B169" i="2"/>
  <c r="B163" i="2"/>
  <c r="E67" i="3"/>
  <c r="B67" i="3"/>
  <c r="F67" i="3"/>
  <c r="C187" i="2"/>
  <c r="B174" i="2" l="1"/>
  <c r="B173" i="2"/>
  <c r="B175" i="2"/>
  <c r="C158" i="2"/>
  <c r="E13" i="5"/>
  <c r="E14" i="5"/>
  <c r="E12" i="5"/>
  <c r="E11" i="5"/>
  <c r="E10" i="5"/>
  <c r="E9" i="5"/>
  <c r="E5" i="5"/>
  <c r="B68" i="5"/>
  <c r="B49" i="5"/>
  <c r="B48" i="5"/>
  <c r="B39" i="5"/>
  <c r="B33" i="5"/>
  <c r="B32" i="5"/>
  <c r="B31" i="5"/>
  <c r="B29" i="3"/>
  <c r="E19" i="5" l="1"/>
  <c r="D67" i="3" s="1"/>
  <c r="C67" i="3" s="1"/>
  <c r="D19" i="5" s="1"/>
  <c r="C117" i="2"/>
  <c r="C115" i="2" l="1"/>
  <c r="C116" i="2"/>
  <c r="D146" i="2"/>
  <c r="D145" i="2"/>
  <c r="D144" i="2"/>
  <c r="D143" i="2"/>
  <c r="D139" i="2"/>
  <c r="D138" i="2"/>
  <c r="I132" i="2"/>
  <c r="I131" i="2"/>
  <c r="D27" i="3" l="1"/>
  <c r="D99" i="2"/>
  <c r="F138" i="2" l="1"/>
  <c r="J110" i="2"/>
  <c r="J109" i="2"/>
  <c r="J108" i="2"/>
  <c r="J107" i="2"/>
  <c r="D106" i="2" s="1"/>
  <c r="G110" i="2"/>
  <c r="G109" i="2"/>
  <c r="G108" i="2"/>
  <c r="G107" i="2"/>
  <c r="D105" i="2" s="1"/>
  <c r="K274" i="6"/>
  <c r="L274" i="6"/>
  <c r="M274" i="6"/>
  <c r="K275" i="6"/>
  <c r="L275" i="6"/>
  <c r="M275" i="6"/>
  <c r="K276" i="6"/>
  <c r="L276" i="6"/>
  <c r="M276" i="6"/>
  <c r="K277" i="6"/>
  <c r="L277" i="6"/>
  <c r="M277" i="6"/>
  <c r="K278" i="6"/>
  <c r="L278" i="6"/>
  <c r="M278" i="6"/>
  <c r="J275" i="6"/>
  <c r="J276" i="6"/>
  <c r="J277" i="6"/>
  <c r="J278" i="6"/>
  <c r="J274" i="6"/>
  <c r="O263" i="6"/>
  <c r="K268" i="6"/>
  <c r="L268" i="6"/>
  <c r="M268" i="6"/>
  <c r="K269" i="6"/>
  <c r="L269" i="6"/>
  <c r="M269" i="6"/>
  <c r="K270" i="6"/>
  <c r="L270" i="6"/>
  <c r="M270" i="6"/>
  <c r="K271" i="6"/>
  <c r="L271" i="6"/>
  <c r="M271" i="6"/>
  <c r="K272" i="6"/>
  <c r="L272" i="6"/>
  <c r="M272" i="6"/>
  <c r="J269" i="6"/>
  <c r="J270" i="6"/>
  <c r="J271" i="6"/>
  <c r="J272" i="6"/>
  <c r="J268" i="6"/>
  <c r="O264" i="6"/>
  <c r="G92" i="2"/>
  <c r="C94" i="2"/>
  <c r="C93" i="2"/>
  <c r="D6" i="4"/>
  <c r="D8" i="4"/>
  <c r="D10" i="4"/>
  <c r="D5" i="5" s="1"/>
  <c r="D12" i="4"/>
  <c r="D15" i="4"/>
  <c r="D17" i="4"/>
  <c r="D9" i="5" s="1"/>
  <c r="D18" i="4"/>
  <c r="D10" i="5" s="1"/>
  <c r="D19" i="4"/>
  <c r="D20" i="4"/>
  <c r="D11" i="5" s="1"/>
  <c r="D4" i="4"/>
  <c r="C105" i="2" l="1"/>
  <c r="C106" i="2"/>
  <c r="C99" i="2"/>
  <c r="F62" i="3"/>
  <c r="D46" i="3"/>
  <c r="D47" i="3"/>
  <c r="D48" i="3"/>
  <c r="D74" i="3"/>
  <c r="C74" i="3" s="1"/>
  <c r="D8" i="5" s="1"/>
  <c r="D49" i="3"/>
  <c r="D50" i="3"/>
  <c r="D70" i="3"/>
  <c r="D77" i="3"/>
  <c r="D78" i="3"/>
  <c r="D79" i="3"/>
  <c r="D80" i="3"/>
  <c r="D81" i="3"/>
  <c r="C4" i="6"/>
  <c r="C3" i="6"/>
  <c r="C6" i="6" s="1"/>
  <c r="C2" i="6"/>
  <c r="C5" i="6" s="1"/>
  <c r="D16" i="4" l="1"/>
  <c r="K134" i="2"/>
  <c r="C8" i="6"/>
  <c r="C185" i="2" s="1"/>
  <c r="C7" i="6"/>
  <c r="E17" i="5" s="1"/>
  <c r="B61" i="3"/>
  <c r="B62" i="3"/>
  <c r="B46" i="3"/>
  <c r="B63" i="3"/>
  <c r="B47" i="3"/>
  <c r="B64" i="3"/>
  <c r="B65" i="3"/>
  <c r="B66" i="3"/>
  <c r="B48" i="3"/>
  <c r="B74" i="3"/>
  <c r="B49" i="3"/>
  <c r="B50" i="3"/>
  <c r="B69" i="3"/>
  <c r="B70" i="3"/>
  <c r="B77" i="3"/>
  <c r="B78" i="3"/>
  <c r="B79" i="3"/>
  <c r="B80" i="3"/>
  <c r="B81" i="3"/>
  <c r="B45" i="3"/>
  <c r="D75" i="3" l="1"/>
  <c r="C75" i="3" s="1"/>
  <c r="D17" i="5" s="1"/>
  <c r="C184" i="2"/>
  <c r="C186" i="2" s="1"/>
  <c r="C188" i="2" s="1"/>
  <c r="C189" i="2" s="1"/>
  <c r="H131" i="2"/>
  <c r="C144" i="2"/>
  <c r="C139" i="2"/>
  <c r="G131" i="2"/>
  <c r="C130" i="2" s="1"/>
  <c r="C118" i="2" s="1"/>
  <c r="H132" i="2"/>
  <c r="C146" i="2"/>
  <c r="G132" i="2"/>
  <c r="C138" i="2"/>
  <c r="C145" i="2"/>
  <c r="C143" i="2"/>
  <c r="E11" i="4"/>
  <c r="E5" i="4"/>
  <c r="D61" i="3" s="1"/>
  <c r="C61" i="3" s="1"/>
  <c r="D5" i="4" s="1"/>
  <c r="F61" i="3"/>
  <c r="F46" i="3"/>
  <c r="F63" i="3"/>
  <c r="F47" i="3"/>
  <c r="F64" i="3"/>
  <c r="F65" i="3"/>
  <c r="F66" i="3"/>
  <c r="F48" i="3"/>
  <c r="F74" i="3"/>
  <c r="F49" i="3"/>
  <c r="F50" i="3"/>
  <c r="F69" i="3"/>
  <c r="F70" i="3"/>
  <c r="F77" i="3"/>
  <c r="F78" i="3"/>
  <c r="F79" i="3"/>
  <c r="F80" i="3"/>
  <c r="F81" i="3"/>
  <c r="E61" i="3"/>
  <c r="E62" i="3"/>
  <c r="E46" i="3"/>
  <c r="E63" i="3"/>
  <c r="E47" i="3"/>
  <c r="E64" i="3"/>
  <c r="E65" i="3"/>
  <c r="E66" i="3"/>
  <c r="E48" i="3"/>
  <c r="E74" i="3"/>
  <c r="E49" i="3"/>
  <c r="E50" i="3"/>
  <c r="E70" i="3"/>
  <c r="C77" i="3"/>
  <c r="D21" i="4" s="1"/>
  <c r="D12" i="5" s="1"/>
  <c r="E77" i="3"/>
  <c r="C78" i="3"/>
  <c r="D22" i="4" s="1"/>
  <c r="D13" i="5" s="1"/>
  <c r="E78" i="3"/>
  <c r="C79" i="3"/>
  <c r="E79" i="3"/>
  <c r="C80" i="3"/>
  <c r="E80" i="3"/>
  <c r="C81" i="3"/>
  <c r="E81" i="3"/>
  <c r="D45" i="3"/>
  <c r="E45" i="3"/>
  <c r="F45" i="3"/>
  <c r="C15" i="3"/>
  <c r="E18" i="5" l="1"/>
  <c r="E20" i="5" s="1"/>
  <c r="D68" i="3" s="1"/>
  <c r="C68" i="3" s="1"/>
  <c r="D20" i="5" s="1"/>
  <c r="D24" i="4"/>
  <c r="D15" i="5"/>
  <c r="D25" i="4"/>
  <c r="D16" i="5"/>
  <c r="D64" i="3"/>
  <c r="C64" i="3" s="1"/>
  <c r="D11" i="4" s="1"/>
  <c r="D6" i="5" s="1"/>
  <c r="E6" i="5"/>
  <c r="E13" i="4"/>
  <c r="D65" i="3" s="1"/>
  <c r="C65" i="3" s="1"/>
  <c r="D13" i="4" s="1"/>
  <c r="C119" i="2"/>
  <c r="C131" i="2"/>
  <c r="B80" i="4"/>
  <c r="B103" i="4"/>
  <c r="D23" i="4"/>
  <c r="B91" i="4"/>
  <c r="B68" i="4"/>
  <c r="B50" i="4"/>
  <c r="B49" i="4"/>
  <c r="B32" i="4"/>
  <c r="B31" i="4"/>
  <c r="B17" i="2"/>
  <c r="B16" i="2"/>
  <c r="D76" i="3" l="1"/>
  <c r="C76" i="3" s="1"/>
  <c r="D18" i="5" s="1"/>
  <c r="B105" i="4"/>
  <c r="D14" i="5"/>
  <c r="B110" i="4"/>
  <c r="B82" i="4"/>
  <c r="B59" i="4"/>
  <c r="B87" i="4"/>
  <c r="B40" i="4"/>
  <c r="E9" i="4"/>
  <c r="M92" i="2"/>
  <c r="B29" i="2"/>
  <c r="B116" i="4" s="1"/>
  <c r="F30" i="3"/>
  <c r="F25" i="3"/>
  <c r="F21" i="3"/>
  <c r="F18" i="3"/>
  <c r="B18" i="5" l="1"/>
  <c r="B19" i="5"/>
  <c r="C94" i="5"/>
  <c r="B16" i="7" s="1"/>
  <c r="C98" i="5"/>
  <c r="B20" i="7" s="1"/>
  <c r="D99" i="5"/>
  <c r="D21" i="7" s="1"/>
  <c r="D95" i="5"/>
  <c r="D17" i="7" s="1"/>
  <c r="C95" i="5"/>
  <c r="C93" i="5"/>
  <c r="B15" i="7" s="1"/>
  <c r="B98" i="5"/>
  <c r="C20" i="7" s="1"/>
  <c r="C99" i="5"/>
  <c r="C97" i="5"/>
  <c r="B19" i="7" s="1"/>
  <c r="D98" i="5"/>
  <c r="D20" i="7" s="1"/>
  <c r="D97" i="5"/>
  <c r="D19" i="7" s="1"/>
  <c r="D93" i="5"/>
  <c r="D15" i="7" s="1"/>
  <c r="B94" i="5"/>
  <c r="C16" i="7" s="1"/>
  <c r="D94" i="5"/>
  <c r="D16" i="7" s="1"/>
  <c r="D63" i="3"/>
  <c r="C63" i="3" s="1"/>
  <c r="E4" i="5"/>
  <c r="B20" i="5"/>
  <c r="B5" i="5"/>
  <c r="B9" i="5"/>
  <c r="B13" i="5"/>
  <c r="B4" i="5"/>
  <c r="B12" i="5"/>
  <c r="B21" i="5"/>
  <c r="B6" i="5"/>
  <c r="B10" i="5"/>
  <c r="B14" i="5"/>
  <c r="B9" i="4"/>
  <c r="B17" i="5"/>
  <c r="B22" i="5"/>
  <c r="B7" i="5"/>
  <c r="B11" i="5"/>
  <c r="B15" i="5"/>
  <c r="B8" i="5"/>
  <c r="B16" i="5"/>
  <c r="C118" i="4"/>
  <c r="B5" i="7" s="1"/>
  <c r="D119" i="4"/>
  <c r="D6" i="7" s="1"/>
  <c r="C123" i="4"/>
  <c r="B10" i="7" s="1"/>
  <c r="D124" i="4"/>
  <c r="D11" i="7" s="1"/>
  <c r="B118" i="4"/>
  <c r="C5" i="7" s="1"/>
  <c r="D121" i="4"/>
  <c r="D8" i="7" s="1"/>
  <c r="C124" i="4"/>
  <c r="C117" i="4"/>
  <c r="B4" i="7" s="1"/>
  <c r="D118" i="4"/>
  <c r="D5" i="7" s="1"/>
  <c r="C122" i="4"/>
  <c r="B9" i="7" s="1"/>
  <c r="D123" i="4"/>
  <c r="D10" i="7" s="1"/>
  <c r="C116" i="4"/>
  <c r="B123" i="4"/>
  <c r="C10" i="7" s="1"/>
  <c r="D117" i="4"/>
  <c r="D4" i="7" s="1"/>
  <c r="C121" i="4"/>
  <c r="B8" i="7" s="1"/>
  <c r="D122" i="4"/>
  <c r="D9" i="7" s="1"/>
  <c r="D116" i="4"/>
  <c r="D3" i="7" s="1"/>
  <c r="C119" i="4"/>
  <c r="B12" i="4"/>
  <c r="G94" i="2"/>
  <c r="G95" i="2"/>
  <c r="G93" i="2"/>
  <c r="B24" i="4"/>
  <c r="B25" i="4"/>
  <c r="B6" i="4"/>
  <c r="B16" i="4"/>
  <c r="B14" i="4"/>
  <c r="B5" i="4"/>
  <c r="B10" i="4"/>
  <c r="B17" i="4"/>
  <c r="B21" i="4"/>
  <c r="B13" i="4"/>
  <c r="B7" i="4"/>
  <c r="B11" i="4"/>
  <c r="B18" i="4"/>
  <c r="B22" i="4"/>
  <c r="B19" i="4"/>
  <c r="B20" i="4"/>
  <c r="B8" i="4"/>
  <c r="B23" i="4"/>
  <c r="B15" i="4"/>
  <c r="B20" i="3"/>
  <c r="B4" i="4"/>
  <c r="C67" i="2" l="1"/>
  <c r="E7" i="4" s="1"/>
  <c r="D62" i="3" s="1"/>
  <c r="C62" i="3" s="1"/>
  <c r="D7" i="4" s="1"/>
  <c r="B108" i="4" s="1"/>
  <c r="D9" i="4"/>
  <c r="B86" i="4" s="1"/>
  <c r="B3" i="7"/>
  <c r="E14" i="4"/>
  <c r="E12" i="4"/>
  <c r="B81" i="4" l="1"/>
  <c r="B83" i="4" s="1"/>
  <c r="D4" i="5"/>
  <c r="B39" i="4"/>
  <c r="D66" i="3"/>
  <c r="C66" i="3" s="1"/>
  <c r="D14" i="4" s="1"/>
  <c r="D7" i="5" s="1"/>
  <c r="E7" i="5"/>
  <c r="B85" i="4"/>
  <c r="B57" i="4"/>
  <c r="B38" i="4"/>
  <c r="B58" i="5" l="1"/>
  <c r="B60" i="5" s="1"/>
  <c r="B86" i="5"/>
  <c r="B82" i="5"/>
  <c r="B41" i="4"/>
  <c r="B58" i="4"/>
  <c r="B60" i="4" s="1"/>
  <c r="B104" i="4"/>
  <c r="B106" i="4" s="1"/>
  <c r="B109" i="4"/>
  <c r="B111" i="4" s="1"/>
  <c r="B88" i="4"/>
  <c r="B121" i="4"/>
  <c r="C8" i="7" s="1"/>
  <c r="C3" i="7"/>
  <c r="D53" i="3" s="1"/>
  <c r="B88" i="5" l="1"/>
  <c r="B99" i="5" s="1"/>
  <c r="C21" i="7" s="1"/>
  <c r="B97" i="5"/>
  <c r="C19" i="7" s="1"/>
  <c r="B84" i="5"/>
  <c r="B95" i="5" s="1"/>
  <c r="C17" i="7" s="1"/>
  <c r="B93" i="5"/>
  <c r="C15" i="7" s="1"/>
  <c r="B122" i="4"/>
  <c r="C9" i="7" s="1"/>
  <c r="B119" i="4"/>
  <c r="C6" i="7" s="1"/>
  <c r="B117" i="4"/>
  <c r="C4" i="7" s="1"/>
  <c r="D54" i="3" s="1"/>
  <c r="K55" i="3" s="1"/>
  <c r="K56" i="3" s="1"/>
  <c r="B124" i="4"/>
  <c r="C11" i="7" s="1"/>
</calcChain>
</file>

<file path=xl/sharedStrings.xml><?xml version="1.0" encoding="utf-8"?>
<sst xmlns="http://schemas.openxmlformats.org/spreadsheetml/2006/main" count="1179" uniqueCount="455">
  <si>
    <t>Lifetime</t>
  </si>
  <si>
    <t>Climate Zone</t>
  </si>
  <si>
    <t>Building Type</t>
  </si>
  <si>
    <t>EERbase</t>
  </si>
  <si>
    <t>ΔkWh = [Cooling savings] + [Heating savings] + [DHW savings]</t>
  </si>
  <si>
    <t>Cooling Savings = (Capacitycool * EFLHCool * (1/EERbase – 1/EERGSHP))/1000</t>
  </si>
  <si>
    <t>Heating Savings = ElecHeat *((CapacityHeat * EFLHHeat * (1/HSPFbase – 1/(COPGSHP * 3.412)))/1000)</t>
  </si>
  <si>
    <t>DHW Savings = ElecDHW * (%DHW * ((1/EFelecbase) * HotWaterUseGallon * γWater * (Tout – Tin) * 1/3412))</t>
  </si>
  <si>
    <t>[Heating savings]</t>
  </si>
  <si>
    <t>[DHW savings]</t>
  </si>
  <si>
    <t>[Cooling savings]</t>
  </si>
  <si>
    <t>ΔkWh</t>
  </si>
  <si>
    <t>EFLHCool</t>
  </si>
  <si>
    <t>EERGSHP</t>
  </si>
  <si>
    <t>ElecHeat</t>
  </si>
  <si>
    <t>CapacityHeat</t>
  </si>
  <si>
    <t>EFLHHeat</t>
  </si>
  <si>
    <t>HSPFbase</t>
  </si>
  <si>
    <t>COPGSHP</t>
  </si>
  <si>
    <t>ElecDHW</t>
  </si>
  <si>
    <t xml:space="preserve"> %DHW</t>
  </si>
  <si>
    <t>Efelecbase</t>
  </si>
  <si>
    <t>HotWaterUseGallon</t>
  </si>
  <si>
    <t>γWater</t>
  </si>
  <si>
    <t>Tout</t>
  </si>
  <si>
    <t>Tin</t>
  </si>
  <si>
    <t>Program Type</t>
  </si>
  <si>
    <t>Time of Sale</t>
  </si>
  <si>
    <t>Early Replacement/Retrofit</t>
  </si>
  <si>
    <t>New Construction</t>
  </si>
  <si>
    <t>ii. Note the baseline in this case is the existing equipment being replaced. The calculation of savings is dependent on whether an incentive for the installation has been provided by both a gas and electric utility, only an electric utility or only a gas utility. DHW savings are calculated based upon the fuel and efficiency of the existing unit.</t>
  </si>
  <si>
    <t>• The existing unit is operational when replaced, or</t>
  </si>
  <si>
    <t>• The existing unit requires minor repairs to be operational, defined as costing less than716: Existing System Maximum repair cost Air Source Heat Pump $263/ton Chiller $308/ton Boiler (Steam) $3.87/ kBtu Boiler (Hot Water) $4.25/ kBtu Furnace $2.49/ kBtu Ground Source Heat Pump $2,185/ton</t>
  </si>
  <si>
    <t>• All other conditions will be considered Time of Sale.</t>
  </si>
  <si>
    <t>Meets requirements</t>
  </si>
  <si>
    <t>Does not meet requirements</t>
  </si>
  <si>
    <t>Uncertain</t>
  </si>
  <si>
    <t>i. The installation of a new Ground Source Heat Pump system must meet ENERGY STAR efficiency standards presented below in a new C&amp;I building.</t>
  </si>
  <si>
    <t>i. The planned installation of a new Ground Source Heat Pump system must meet ENERGY STAR efficiency standards (see below) to replace an existing system(s) that does not meet the criteria for early replacement (described in section C of the TRM measure and copied below).</t>
  </si>
  <si>
    <t>iii. Calculation note: DHW savings are calculated based upon the fuel type and efficiency of the existing unit.</t>
  </si>
  <si>
    <t>ii. Calculation note: Per the TRM, the baseline in this case should be determined via EM&amp;V. The algorithms are provided to allow savings to be calculated from any baseline condition. Documentation should be provided to justify choice of baseline</t>
  </si>
  <si>
    <t>ii. Calculation note: The baseline in this case is an equivalent replacement system to that which exists currently in the building. The calculation of savings is dependent on whether an incentive for the installation has been provided by both a gas and electric utility, only an electric utility or only a gas utility.</t>
  </si>
  <si>
    <t>iii. Early Replacement determination will be based on meeting the following conditions: 
• The existing unit is operational when replaced, or
• The existing unit requires minor repairs to be operational, defined as costing less than: Air Source Heat Pump $263/ton Chiller $308/ton Boiler (Steam) $3.87/ kBtu Boiler (Hot Water) $4.25/ kBtu Furnace $2.49/ kBtu Ground Source Heat Pump $2,185/ton</t>
  </si>
  <si>
    <t>i. Project includes early removal of functioning electric or gas space heating and/or cooling systems from service, prior to the natural end of life and replacement with a new high efficiency Ground Source Heat Pump system.</t>
  </si>
  <si>
    <t>iv. If the operational status or repair cost of the existing unit is unknown use time of sale assumptions.</t>
  </si>
  <si>
    <t>intentionally blank</t>
  </si>
  <si>
    <t>-Choose One-</t>
  </si>
  <si>
    <t>Select Program Type from the pulldown menu to the left</t>
  </si>
  <si>
    <t>Default value</t>
  </si>
  <si>
    <t>Value</t>
  </si>
  <si>
    <t>Variable</t>
  </si>
  <si>
    <t>Utility type</t>
  </si>
  <si>
    <t>New construction, non-fuel switch</t>
  </si>
  <si>
    <t>Time of Sale, non-fuel switch</t>
  </si>
  <si>
    <t>Early Replacement, non-fuel switch</t>
  </si>
  <si>
    <t>Early Replacement, fuel switch</t>
  </si>
  <si>
    <t>New construction, fuel switch</t>
  </si>
  <si>
    <t>Time of Sale, fuel switch</t>
  </si>
  <si>
    <t>Existing Heating Fuel</t>
  </si>
  <si>
    <t>Possible Use cases</t>
  </si>
  <si>
    <t>Chosen use case</t>
  </si>
  <si>
    <t xml:space="preserve">Use cases: </t>
  </si>
  <si>
    <t>Use Case Chosen:</t>
  </si>
  <si>
    <t>Inputs Incomplete</t>
  </si>
  <si>
    <t>variable</t>
  </si>
  <si>
    <t>default value</t>
  </si>
  <si>
    <t>definition</t>
  </si>
  <si>
    <t>Required electric inputs</t>
  </si>
  <si>
    <t>Required gas inputs</t>
  </si>
  <si>
    <t>value</t>
  </si>
  <si>
    <t>units</t>
  </si>
  <si>
    <t>Cooling Capacity of Ground Source Heat Pump. Actual installed</t>
  </si>
  <si>
    <t>(Btu/hr)</t>
  </si>
  <si>
    <t>Cooling Equivalent Full Load Hours. Dependent on building type, provided in section 4.4 HVAC End Use</t>
  </si>
  <si>
    <t>(hours)</t>
  </si>
  <si>
    <t>(kBtu/hr / kW)</t>
  </si>
  <si>
    <t>1 if existing heating system is electric. 0 if existing system is non electric</t>
  </si>
  <si>
    <t>flag</t>
  </si>
  <si>
    <t>Heating Capacity of Ground Source Heat Pump. Actual installed</t>
  </si>
  <si>
    <t>Heating Equivalent Full Load Hours. Dependent on building type, provided in section 4.4 HVAC End Use</t>
  </si>
  <si>
    <t>(kBtu/kWh)</t>
  </si>
  <si>
    <t>Part Load Coefficient of Performance of efficient GSHP. Actual installed</t>
  </si>
  <si>
    <t>1 if building has electric DHW. 0 if building has non electric DHW. 0 if one to one replacement of existing Ground Source Heat Pump</t>
  </si>
  <si>
    <t>(%)</t>
  </si>
  <si>
    <t>(unitless)</t>
  </si>
  <si>
    <t>Energy Factor of baseline electric DHW. Actual. If unknown or for new construction assume federal standard as defined in applicable table in ‘Definition of Baseline Equipment’ section</t>
  </si>
  <si>
    <t>oof. Yeesh. Separate sub input routine required</t>
  </si>
  <si>
    <t>Density of water. 8.33 pounds per gallon</t>
  </si>
  <si>
    <t>(lb/gal)</t>
  </si>
  <si>
    <t>Tank temperature. 125°F</t>
  </si>
  <si>
    <t>(°F)</t>
  </si>
  <si>
    <t>Incoming water temperature from well or municiplal system. 54°F</t>
  </si>
  <si>
    <t>Heating EFLH Existing Buildings</t>
  </si>
  <si>
    <t>Zone 1 (Rockford)</t>
  </si>
  <si>
    <t>Zone 2 (Chicago)</t>
  </si>
  <si>
    <t>Zone 3 (Springfield)</t>
  </si>
  <si>
    <t>Zone 4 (Belleville)</t>
  </si>
  <si>
    <t>Zone 5 (Marion)</t>
  </si>
  <si>
    <t>Assembly</t>
  </si>
  <si>
    <t>Assisted Living</t>
  </si>
  <si>
    <t>Auto Dealership</t>
  </si>
  <si>
    <t>College</t>
  </si>
  <si>
    <t>Convenience Store</t>
  </si>
  <si>
    <t>Drug Store</t>
  </si>
  <si>
    <t>Elementary School</t>
  </si>
  <si>
    <t>Garage</t>
  </si>
  <si>
    <t>Grocery</t>
  </si>
  <si>
    <t>Healthcare Clinic</t>
  </si>
  <si>
    <t>High School</t>
  </si>
  <si>
    <t>Hospital - FCU</t>
  </si>
  <si>
    <t>Hotel/Motel</t>
  </si>
  <si>
    <t>Hotel/Motel - Common</t>
  </si>
  <si>
    <t>Hotel/Motel - Guest</t>
  </si>
  <si>
    <t>Manufacturing Facility</t>
  </si>
  <si>
    <t>MF - High Rise</t>
  </si>
  <si>
    <t>MF - High Rise - Common</t>
  </si>
  <si>
    <t>MF - High Rise - Residential</t>
  </si>
  <si>
    <t>MF - Mid Rise</t>
  </si>
  <si>
    <t>Movie Theater</t>
  </si>
  <si>
    <t>Office - High Rise - CAV no econ</t>
  </si>
  <si>
    <t>Office - High Rise - CAV econ</t>
  </si>
  <si>
    <t>Office - High Rise - VAV econ</t>
  </si>
  <si>
    <t>Office - High Rise - FCU</t>
  </si>
  <si>
    <t>Office - Low Rise</t>
  </si>
  <si>
    <t>Office - Mid Rise</t>
  </si>
  <si>
    <t>Public Sector</t>
  </si>
  <si>
    <t>Religious Building</t>
  </si>
  <si>
    <t>Restaurant</t>
  </si>
  <si>
    <t>Retail - Department Store</t>
  </si>
  <si>
    <t>Retail - Strip Mall</t>
  </si>
  <si>
    <t>Warehouse</t>
  </si>
  <si>
    <t>Unknown</t>
  </si>
  <si>
    <t>Hospital - CAV no econ</t>
  </si>
  <si>
    <t>Hospital - CAV econ</t>
  </si>
  <si>
    <t>Hospital - VAV econ</t>
  </si>
  <si>
    <t>Heating EFLH New Construction</t>
  </si>
  <si>
    <t>Hotel/Motel - Residential</t>
  </si>
  <si>
    <t>Hotel_Motel_Common</t>
  </si>
  <si>
    <t>Hotel_Motel_Guest</t>
  </si>
  <si>
    <t>Office Low Rise</t>
  </si>
  <si>
    <t>Select Program Type First</t>
  </si>
  <si>
    <t>Cooling EFLH Existing Buildings</t>
  </si>
  <si>
    <t>Heating and cooling building types for new construction don't quite match. There is no Office - High Rise - CAV econ for heating, so I removed it for cooling too</t>
  </si>
  <si>
    <t>Cooling EFLH New Construction</t>
  </si>
  <si>
    <t>Site Information</t>
  </si>
  <si>
    <t>Use Case</t>
  </si>
  <si>
    <t>Eligibility Requirements - specific to Program Type</t>
  </si>
  <si>
    <t>Eligibility Requirements for all projects</t>
  </si>
  <si>
    <t xml:space="preserve">The installation of the GSHP should meet the following design parameters to ensure a properly sized circulation pump.
</t>
  </si>
  <si>
    <t>• On/off or variable flow controls on pumps for systems less than 10 tons. On/off pump controls shall operate only when heat pump(s) are running.</t>
  </si>
  <si>
    <t>• System pumping head less than 80 feet. For systems 10 tons or smaller system pumping head should not exceed 40 feet.</t>
  </si>
  <si>
    <t>• Circulation pump is included in the manufacturer assembly of the GSHP system
Or;
• Circulation pump flow rate less than or equal to 3.0 GPM per system ton</t>
  </si>
  <si>
    <t>• Variable flow controls on pumps serving systems greater than 10 tons. Variable flow controls include one of the following:
   o A variable speed system pump controlled from differential pressure and 2-way water flow control valves on each heat pump.
   o Individual on/off pumps on each heat pump controlled by heat pump demand. The heat pumps may be decoupled from the ground heat exchanger using a separate variable speed pump controlled by differential temperature across the ground loop.</t>
  </si>
  <si>
    <t>Y</t>
  </si>
  <si>
    <t>Variable required for the calc? Depends on Use Case</t>
  </si>
  <si>
    <t>Variable eligibility requirements (by use case)</t>
  </si>
  <si>
    <r>
      <t>Capacity</t>
    </r>
    <r>
      <rPr>
        <vertAlign val="subscript"/>
        <sz val="11"/>
        <color theme="1"/>
        <rFont val="Calibri"/>
        <family val="2"/>
        <scheme val="minor"/>
      </rPr>
      <t>cool</t>
    </r>
  </si>
  <si>
    <t>Units</t>
  </si>
  <si>
    <t>Definition</t>
  </si>
  <si>
    <t>Percentage of total DHW load that the GSHP will provide. Actual if known. If unknown and if desuperheater installed assume 44%. 0% if no desuperheater installed</t>
  </si>
  <si>
    <t>EERExist</t>
  </si>
  <si>
    <t>N</t>
  </si>
  <si>
    <t>HSPFExist</t>
  </si>
  <si>
    <t>HSPFASHP</t>
  </si>
  <si>
    <t>Heating System Performance Factor of new replacement ASHP. (for fuel switch). Refer to applicable Table in ‘Definition of Baseline Equipment’ section</t>
  </si>
  <si>
    <t>Constant</t>
  </si>
  <si>
    <t>Constant to convert the COP of the unit to the Heating Season Performance Factor (HSPF)</t>
  </si>
  <si>
    <t>Input required?</t>
  </si>
  <si>
    <t xml:space="preserve">Heat Capacity of water </t>
  </si>
  <si>
    <t>(Btu/lb*°F)</t>
  </si>
  <si>
    <t>Conversion from Btu to kWh</t>
  </si>
  <si>
    <t>must enter input</t>
  </si>
  <si>
    <t>deemed value</t>
  </si>
  <si>
    <t>Instructions</t>
  </si>
  <si>
    <t>Energy Efficiency Ratio (EER) of baseline replacement cooling system. Use minimum standard efficiencies as specified in tables in ‘Definition of Baseline Equipment’ section</t>
  </si>
  <si>
    <t>Part Load Energy Efficiency Ratio efficiency of efficient GSHP unit. Actual installed</t>
  </si>
  <si>
    <t>Existing or new</t>
  </si>
  <si>
    <t>Simplified Zone</t>
  </si>
  <si>
    <t>Incomplete</t>
  </si>
  <si>
    <t>Heating EFLH</t>
  </si>
  <si>
    <t>Cooling EFLH</t>
  </si>
  <si>
    <t>(kWh/btu)</t>
  </si>
  <si>
    <t>Select Building Type</t>
  </si>
  <si>
    <t>default value - use actual value if known</t>
  </si>
  <si>
    <t>* If EER unknown but SEER is available, convert using the equation: EERexist = (-0.02 * SEERexist^2) + (1.12 * SEERexist).
If it is not possible to estimate existing unit efficiency, change project to Time-of-Sale</t>
  </si>
  <si>
    <t>DHW baseline</t>
  </si>
  <si>
    <t>Air Conditioning</t>
  </si>
  <si>
    <t>Space Heating</t>
  </si>
  <si>
    <t>Minimum Federal Efficiency ASHP</t>
  </si>
  <si>
    <t>Federal Standard efficiency electric DWH heater</t>
  </si>
  <si>
    <t>Table 6</t>
  </si>
  <si>
    <r>
      <t xml:space="preserve">Table2: IECC 2015 ASHP Minimum Efficiency Requirements </t>
    </r>
    <r>
      <rPr>
        <sz val="10"/>
        <color theme="1"/>
        <rFont val="Calibri"/>
        <family val="2"/>
        <scheme val="minor"/>
      </rPr>
      <t>(effective 1/1/2016 to 3/30/2019)</t>
    </r>
    <r>
      <rPr>
        <b/>
        <sz val="10"/>
        <color theme="1"/>
        <rFont val="Calibri"/>
        <family val="2"/>
        <scheme val="minor"/>
      </rPr>
      <t>:</t>
    </r>
  </si>
  <si>
    <r>
      <t xml:space="preserve">Table 3: IECC 2015 Electric Chillers, Air-Cooled and Water-Cooled minimum efficiencies </t>
    </r>
    <r>
      <rPr>
        <sz val="10"/>
        <color theme="1"/>
        <rFont val="Calibri"/>
        <family val="2"/>
        <scheme val="minor"/>
      </rPr>
      <t>(effective 1/1/2016 to 3/30/2019)</t>
    </r>
  </si>
  <si>
    <r>
      <t xml:space="preserve">Table 4: IECC 2015 Boiler minimum efficiency requirements </t>
    </r>
    <r>
      <rPr>
        <sz val="10"/>
        <color theme="1"/>
        <rFont val="Calibri"/>
        <family val="2"/>
        <scheme val="minor"/>
      </rPr>
      <t>(effective 1/1/2016 to 3/30/2019)</t>
    </r>
  </si>
  <si>
    <r>
      <t xml:space="preserve">Table 5: IECC 2015 Warm-air Furnace minimum efficiency standards </t>
    </r>
    <r>
      <rPr>
        <sz val="10"/>
        <color theme="1"/>
        <rFont val="Calibri"/>
        <family val="2"/>
        <scheme val="minor"/>
      </rPr>
      <t>(effective 1/1/2016 to 3/30/2019)</t>
    </r>
  </si>
  <si>
    <r>
      <t xml:space="preserve">Table 6: IECC 2015 Water Heaters mininmum performance </t>
    </r>
    <r>
      <rPr>
        <sz val="10"/>
        <color theme="1"/>
        <rFont val="Calibri"/>
        <family val="2"/>
        <scheme val="minor"/>
      </rPr>
      <t>(effective 1/1/2016 to 3/30/2019)</t>
    </r>
  </si>
  <si>
    <r>
      <t xml:space="preserve">Table7: IECC 2018 ASHP Minimum Efficiency Requirements </t>
    </r>
    <r>
      <rPr>
        <sz val="10"/>
        <color theme="1"/>
        <rFont val="Calibri"/>
        <family val="2"/>
        <scheme val="minor"/>
      </rPr>
      <t>(effective 7/1/2019)</t>
    </r>
  </si>
  <si>
    <t>Table 7 continued:</t>
  </si>
  <si>
    <r>
      <t xml:space="preserve">Table 8: IECC 2018 Electric Chillers, Air-Cooled and Water-Cooled minimum efficiencies </t>
    </r>
    <r>
      <rPr>
        <sz val="10"/>
        <color theme="1"/>
        <rFont val="Calibri"/>
        <family val="2"/>
        <scheme val="minor"/>
      </rPr>
      <t>(effective 7/1/2019)</t>
    </r>
  </si>
  <si>
    <r>
      <t xml:space="preserve">Table 9: IECC 2018 Boiler minimum efficiency requirements </t>
    </r>
    <r>
      <rPr>
        <sz val="10"/>
        <color theme="1"/>
        <rFont val="Calibri"/>
        <family val="2"/>
        <scheme val="minor"/>
      </rPr>
      <t>(effective 7/1/2019)</t>
    </r>
  </si>
  <si>
    <r>
      <t xml:space="preserve">Table 10: IECC 2018 Warm-air Furnace minimum efficiency standards </t>
    </r>
    <r>
      <rPr>
        <sz val="10"/>
        <color theme="1"/>
        <rFont val="Calibri"/>
        <family val="2"/>
        <scheme val="minor"/>
      </rPr>
      <t>(effective 7/1/2019)</t>
    </r>
  </si>
  <si>
    <r>
      <t xml:space="preserve">Table 11: IECC 2018 Water Heaters mininmum performance </t>
    </r>
    <r>
      <rPr>
        <sz val="10"/>
        <color theme="1"/>
        <rFont val="Calibri"/>
        <family val="2"/>
        <scheme val="minor"/>
      </rPr>
      <t>(effective 7/1/2019)</t>
    </r>
  </si>
  <si>
    <t>Baseline definitions</t>
  </si>
  <si>
    <t>Early replacement / Retrofit: The baseline for this measure is the efficiency of the existing heating, cooling and hot water equipment for the assumed remaining useful life of the existing unit, and a new baseline heating and cooling system for the remainder of the measure life (as provided in table above).</t>
  </si>
  <si>
    <t xml:space="preserve">Time of Sale: The baseline for this measure is a new replacement unit of the same system type as the existing unit, meeting the minimum standard efficiencies provided above. </t>
  </si>
  <si>
    <t xml:space="preserve">To calculate savings with an electric baseline, the baseline equipment is assumed to be an Air Source Heat Pump meeting the Federal Standard efficiency level as outlined in Table 2; and a Federal Standard electric hot water heater efficiency level as outlined in Table 6. 
To calculate savings with a chiller/unitary cooling systems and boiler/furnace baseline, the baseline equipment is assumed to meet the minimum standard efficiencies as outlined in the Table 3 
Table for chillers/unitary cooling systems , and Table 4 for boilers or Table 5 for furnaces. If a desuperheater is installed, the domestic hot water heater minimum standard efficiency is calculated as per Table 6 below. </t>
  </si>
  <si>
    <t>Cooling Savings = (Capacitycool * EFLHCool * (1/EERbase - 1/EERGSHP))/1000</t>
  </si>
  <si>
    <t xml:space="preserve">ΔkWh = [Cooling savings] + [Heating savings from base ASHP to GSHP] + [DHW savings] </t>
  </si>
  <si>
    <t>Heating Savings from base ASHP to GSHP = (CapacityHeat * EFLHHeat * (1/HSPFASHP - 1/(COPGSHP * 3.412)))/1000</t>
  </si>
  <si>
    <t>DHW Savings =  ElecDHW * (%DHW * ((1/EFelecbase) * HotWaterUseGallon * γWater * (Tout - Tin) * 1 /3412))</t>
  </si>
  <si>
    <t>[Heating Savings from base ASHP to GSHP]</t>
  </si>
  <si>
    <t>This is 3.412 in one place in the TRM and 3412 in another - verify which it should be</t>
  </si>
  <si>
    <t xml:space="preserve">ΔkWh for remaining life of existing unit (1st 8 years): = [Cooling savings] + [Heating savings] + [DHW savings] </t>
  </si>
  <si>
    <t>Heating Savings = ElecHeat *((CapacityHeat * EFLHHeat * (1/HSPFexist – 1/(COPGSHP * 3.412)))/1000)</t>
  </si>
  <si>
    <t xml:space="preserve">ΔkWh for remaining measure life (next 17 years): = [Cooling savings] + [Heating savings ] + [DHW savings] </t>
  </si>
  <si>
    <t>Heating Savings = ElecHeat *((CapacityHeat * EFLHHeat * (1/HSPFBase – 1/(COPGSHP * 3.412)))/1000)</t>
  </si>
  <si>
    <t>DHW Savings = ElecDHW * (%DHW * ((1/ EFelecbase) * HotWaterUseGallon * γWater * (Tout – Tin) * 1 /3412))</t>
  </si>
  <si>
    <t>Years 1-8</t>
  </si>
  <si>
    <t>Years 9-25</t>
  </si>
  <si>
    <t>Years 1-25</t>
  </si>
  <si>
    <t xml:space="preserve">ΔkWh for remaining life of existing unit (1st 8 years):
= [Cooling savings] + [Heating savings from base ASHP to GSHP] + [DHW savings] </t>
  </si>
  <si>
    <t>Cooling Savings = (Capacitycool * EFLHCool * (1/EERExist – 1/EERGSHP))/1000</t>
  </si>
  <si>
    <t>Heating Savings from base ASHP to GSHP = (CapacityHeat * EFLHHeat * (1/HSPFASHP – 1/(COPGSHP * 3.412)))/1000</t>
  </si>
  <si>
    <t xml:space="preserve">ΔkWh for remaining measure life (next 17 years):
= [Cooling savings] + [Heating savings from base ASHP to GSHP] + [DHW savings] </t>
  </si>
  <si>
    <t>Not used. Program after 3/30/2019</t>
  </si>
  <si>
    <t>Table 7</t>
  </si>
  <si>
    <t>Ground water source</t>
  </si>
  <si>
    <t>Ground source</t>
  </si>
  <si>
    <t>water to air</t>
  </si>
  <si>
    <t>water to water</t>
  </si>
  <si>
    <t>brine to air</t>
  </si>
  <si>
    <t>brine to water</t>
  </si>
  <si>
    <t>&lt;17kBtuh</t>
  </si>
  <si>
    <t>17-65kbtuh</t>
  </si>
  <si>
    <t>65-135kBtuh</t>
  </si>
  <si>
    <t>&lt;135kBtuh</t>
  </si>
  <si>
    <t>System Type</t>
  </si>
  <si>
    <t>-System Type-</t>
  </si>
  <si>
    <t>System Subtype</t>
  </si>
  <si>
    <t>-System subtype-</t>
  </si>
  <si>
    <t>Enter system capacity</t>
  </si>
  <si>
    <t>Verify Large Capacity Baseline</t>
  </si>
  <si>
    <t>Water to air</t>
  </si>
  <si>
    <t>Water to water</t>
  </si>
  <si>
    <t>Brine to air</t>
  </si>
  <si>
    <t>Brine to water</t>
  </si>
  <si>
    <t>Air Source Heat Pump</t>
  </si>
  <si>
    <t>EER</t>
  </si>
  <si>
    <t>&lt;65kBtuh</t>
  </si>
  <si>
    <t>Single</t>
  </si>
  <si>
    <t>Split</t>
  </si>
  <si>
    <r>
      <t xml:space="preserve">Heating System Performance Factor of new replacement baseline heating system </t>
    </r>
    <r>
      <rPr>
        <sz val="11"/>
        <color rgb="FFFF0000"/>
        <rFont val="Calibri"/>
        <family val="2"/>
        <scheme val="minor"/>
      </rPr>
      <t>[of the existing type, but new]</t>
    </r>
  </si>
  <si>
    <t>separate table</t>
  </si>
  <si>
    <t>Ground water source HP</t>
  </si>
  <si>
    <t>Ground source HP</t>
  </si>
  <si>
    <t>Water cooled Chiller</t>
  </si>
  <si>
    <t>Air cooled chiller</t>
  </si>
  <si>
    <t>Air cooled HP (Split or Single AC package AC)</t>
  </si>
  <si>
    <t>Standard air cooled AC</t>
  </si>
  <si>
    <t>Through-the-wall</t>
  </si>
  <si>
    <t>Single-duct, high-velocity</t>
  </si>
  <si>
    <t>SEER</t>
  </si>
  <si>
    <t>Range</t>
  </si>
  <si>
    <t>These values change whether the existing heat is electric resistance or not</t>
  </si>
  <si>
    <t>Rating without ER heat</t>
  </si>
  <si>
    <t>65-135kButh</t>
  </si>
  <si>
    <t>135-240kBtuh</t>
  </si>
  <si>
    <t>Rating with ER or no heat</t>
  </si>
  <si>
    <t>240+kBtuh</t>
  </si>
  <si>
    <t>ER or other heat?</t>
  </si>
  <si>
    <t>EERbase lookup tables</t>
  </si>
  <si>
    <t>Path A FL</t>
  </si>
  <si>
    <t>Path A IPLV</t>
  </si>
  <si>
    <t>Path B FL</t>
  </si>
  <si>
    <t>Path B IPLV</t>
  </si>
  <si>
    <t>None Needed</t>
  </si>
  <si>
    <t>Air cooled &lt;150 tons</t>
  </si>
  <si>
    <t>Postive displacement</t>
  </si>
  <si>
    <t>Centrifugal</t>
  </si>
  <si>
    <t>Water cooled, PD &lt;75 tons</t>
  </si>
  <si>
    <t>Water cooled, PD 75-150 tons</t>
  </si>
  <si>
    <t>Water cooled, PD 150-300 tons</t>
  </si>
  <si>
    <t>Water cooled, PD 300-600 tons</t>
  </si>
  <si>
    <t>Water cooled, PD 600+ tons</t>
  </si>
  <si>
    <t>Air cooled 150+ tons</t>
  </si>
  <si>
    <t>Water cooled, cetrifugal &lt;150 tons</t>
  </si>
  <si>
    <t>Water cooled, cetrifugal 150-300 tons</t>
  </si>
  <si>
    <t>Water cooled, cetrifugal 300-400 tons</t>
  </si>
  <si>
    <t>Water cooled, cetrifugal 600+ tons</t>
  </si>
  <si>
    <t>Chiller EER ratings</t>
  </si>
  <si>
    <t>chosen path</t>
  </si>
  <si>
    <t>type</t>
  </si>
  <si>
    <t>Type</t>
  </si>
  <si>
    <t xml:space="preserve">Positive displacement lookup </t>
  </si>
  <si>
    <t>Centrifugal lookup</t>
  </si>
  <si>
    <t>Water cooled, cetrifugal 400-600 tons</t>
  </si>
  <si>
    <t>Final savings</t>
  </si>
  <si>
    <t>Not Applicable</t>
  </si>
  <si>
    <t>Total annual electric savings</t>
  </si>
  <si>
    <t>N/A, New Construction</t>
  </si>
  <si>
    <t>12 divided by kW/ton equals EER in Btu/W. is that legit?</t>
  </si>
  <si>
    <t>Air cooled HP (Split or Single package AC)</t>
  </si>
  <si>
    <t>Air cooled (heating mode)</t>
  </si>
  <si>
    <t>&lt;30kBtuh</t>
  </si>
  <si>
    <t>single</t>
  </si>
  <si>
    <t>Through-the-wall (heating mode)</t>
  </si>
  <si>
    <t>Small-duct high velocity (heating mode)</t>
  </si>
  <si>
    <t>Calculated EER</t>
  </si>
  <si>
    <t>Known SEER</t>
  </si>
  <si>
    <t>This is a variable for the tool user/designer. The baseline efficiency for chillers depends on which rating method we think best compares to the way GSHPs are rated. Each path produces different input values for the baseline, which affects the savings. Path B IPLV is most conservative. Path B FL is most savings. There might be a "right" choice, but I don't know</t>
  </si>
  <si>
    <t>Annual Electric Savings - kWh</t>
  </si>
  <si>
    <t>Mid-Life Adjusted Annual Savings - kWh, If Applicable</t>
  </si>
  <si>
    <t>[Heating savings from base ASHP to GSHP]</t>
  </si>
  <si>
    <t>Existing Cooling System Information, If Applicable</t>
  </si>
  <si>
    <t>Required Input</t>
  </si>
  <si>
    <t>Default Values - Only Change if supported with reliable site/system data</t>
  </si>
  <si>
    <t>Tool incomplete</t>
  </si>
  <si>
    <r>
      <t xml:space="preserve">System Information - Required Inputs - </t>
    </r>
    <r>
      <rPr>
        <b/>
        <sz val="11"/>
        <color rgb="FFFFFF00"/>
        <rFont val="Calibri"/>
        <family val="2"/>
        <scheme val="minor"/>
      </rPr>
      <t>Pay careful attention to the units</t>
    </r>
  </si>
  <si>
    <t>SEER-to-EER Calculator tool</t>
  </si>
  <si>
    <t>Small-duct, high-velocity</t>
  </si>
  <si>
    <t>Ground Water Source HP</t>
  </si>
  <si>
    <t>Ground Source HP</t>
  </si>
  <si>
    <t>Air cooled HP (heat mode) - Single Package</t>
  </si>
  <si>
    <t>Air cooled HP (heat mode) - Split Package</t>
  </si>
  <si>
    <t>Through-the-wall - Split Package</t>
  </si>
  <si>
    <t>Through-the-wall - Single Package</t>
  </si>
  <si>
    <t>Electric Heating inputs</t>
  </si>
  <si>
    <t>HSPHashp</t>
  </si>
  <si>
    <t>HSPF</t>
  </si>
  <si>
    <t>COP</t>
  </si>
  <si>
    <t>&gt;135kBtuh</t>
  </si>
  <si>
    <t>I'm assuming the same system type as the existing system and the same capacity of the proposed system. This is not explicitly called out in the TRM, but makes the most sense to me</t>
  </si>
  <si>
    <t>47F db/43F wb outdoor air</t>
  </si>
  <si>
    <t>17F db/15F wb outdoor air</t>
  </si>
  <si>
    <t>This is a variable for the tool user/designer. The baseline efficiency for Air Cooled (heat mode) systems above 65kBtuh depends on which test method we think best compares to the way GSHPs are rated. Each path produces different input values for the baseline, which affects the savings. [47F db/43F wb outdoor air] produces conservative savings; [17F db/15F wb outdoor air] produces higher savings. There might be a "right" choice, but I don't know</t>
  </si>
  <si>
    <t>-choose rating test type-</t>
  </si>
  <si>
    <t>Input CapacityHeat</t>
  </si>
  <si>
    <t>This converts COP to HSPF. Per the TRM. I'm not sure its really that easy in practice (or possible), but it's consistent with the TRM</t>
  </si>
  <si>
    <t>Chosen system type</t>
  </si>
  <si>
    <t>Chosen system sub type</t>
  </si>
  <si>
    <t>Select System Type</t>
  </si>
  <si>
    <t>Electric Resistance</t>
  </si>
  <si>
    <t>No subsystem needed</t>
  </si>
  <si>
    <t>Incomplete Inputs</t>
  </si>
  <si>
    <t>Verify the project meets eligibility requirements to right- review carefully</t>
  </si>
  <si>
    <t>Split systemHSPF</t>
  </si>
  <si>
    <t>Single Package HSPF</t>
  </si>
  <si>
    <t>btu/hr</t>
  </si>
  <si>
    <t>The TRM says to "refer to the applicable table" without giving further guidance to choose a specific baseline model. I am choosing a single package unit for &lt;65kBtuh becausue it results in conservative savings. For larger units, the test procedure is an input below - starting with a conservative default</t>
  </si>
  <si>
    <t>could clean up this section and break some of the logic into subcells instead of all in the EERbase cell</t>
  </si>
  <si>
    <t>Fill out inputs in order from top to bottom. If you change one, make sure to re-verify all the inputs below the change</t>
  </si>
  <si>
    <t>Energy Efficiency Ratio (EER) of existing cooling unit. In (kBtu/hr/kW). Use actual EER rating where it is possible to measure or reasonably estimate. If it is not possible to estimate existing unit efficiency, change project to Time-of-Sale. If EER unknown but SEER is available, convert using the tool to the right*</t>
  </si>
  <si>
    <t>Gas and Electric (Ameren)</t>
  </si>
  <si>
    <t>ΔTherms = [Heating Savings] + [DHW Savings]</t>
  </si>
  <si>
    <t>Heating Savings = Replaced baseline gas consumption – therm equivalent of base ASHP source kWh</t>
  </si>
  <si>
    <t>= (1 – ElecHeat) * ((Gas_Heating_Load/GasEffbase) – (kWhtoTherm * EFLHheat * Capacityheat * 1/HSPFASHP)/1000)</t>
  </si>
  <si>
    <t>DHW Savings = (1 – ElecDHW) * (%DHW * (1/ EFGasBase * HotWaterUseGallon * γWater * (TOUT – TIN) * 1.0) / 100,000)</t>
  </si>
  <si>
    <t>ΔTherms = 0</t>
  </si>
  <si>
    <t>ΔTherms for remaining life of existing unit (1st 8 years):</t>
  </si>
  <si>
    <t>= [Heating Savings] + [DHW Savings]</t>
  </si>
  <si>
    <t>Heating Savings = Replaced existing gas consumption – therm equivalent of base ASHP source kWh</t>
  </si>
  <si>
    <t>= (1 – ElecHeat) * ((Gas_Heating_Load/GasEffExist) – (kWhtoTherm * EFLHheat * Capacityheat * 1/HSPFASHP)/1000)</t>
  </si>
  <si>
    <t>ΔTherms for remaining measure life (next 17 years):</t>
  </si>
  <si>
    <t>= (1 – ElecHeat) * ((Gas_Heating_Load/GasEffBase) – (kWhtoTherm * EFLHheat * Capacityheat * 1/HSPFASHP)/1000)</t>
  </si>
  <si>
    <t>ΔTherms</t>
  </si>
  <si>
    <t>All savings calcs are for both electric and gas utility type (Ameren). Gas-only would use different calcs</t>
  </si>
  <si>
    <t>Gas_Heating_Load</t>
  </si>
  <si>
    <t>GasEffbase</t>
  </si>
  <si>
    <t>kWhtoTherm</t>
  </si>
  <si>
    <t>EFGasBase</t>
  </si>
  <si>
    <t>GasEffExist</t>
  </si>
  <si>
    <t>variables above this line are common to electric calcs</t>
  </si>
  <si>
    <t>Estimate of annual heating load = Capacityheat * EFLHheat / 100,000</t>
  </si>
  <si>
    <t>therms</t>
  </si>
  <si>
    <t>Minimum federal standard baseline efficiency of boiler or furnace</t>
  </si>
  <si>
    <t>Hgrid</t>
  </si>
  <si>
    <t>btu/kWh</t>
  </si>
  <si>
    <t>- Non-Baseload RFC West: 10,539 Btu/kWh * (1 + Line Losses)</t>
  </si>
  <si>
    <t>- Non-Baseload SERC Midwest: 9,968 Btu/kWh * (1 + Line Losses)</t>
  </si>
  <si>
    <t>- All Fossil Average RFC West: 9,962 Btu/kWh * (1 + Line Losses)</t>
  </si>
  <si>
    <t>- All Fossil Average SERC Midwest: 9,996 Btu/kWh * (1 + Line Losses)</t>
  </si>
  <si>
    <t>From TRM footnote 740 (in version 8)</t>
  </si>
  <si>
    <t>Heat rate of the grid in btu/kWh based on the average fossil heat rate for the EPA eGRID subregion and includes a factor that takes into account T&amp;D losses.</t>
  </si>
  <si>
    <t>For systems operating less than 6,500 hrs per year:</t>
  </si>
  <si>
    <t>Use the Non-baseload heat rate provided by EPA eGRID for RFC West region for ComEd territory (including independent providers connected to RFC West), and SERC Midwest region for Ameren territory (including independent providers connected to SERC Midwest) 740. Also include any line losses.</t>
  </si>
  <si>
    <t>For systems operating more than 6,500 hrs per year:</t>
  </si>
  <si>
    <t>Use the All Fossil Average heat rate provided by EPA eGRID for RFC West region for ComEd territory, and SERC Midwest region for Ameren territory. Also include any line losses</t>
  </si>
  <si>
    <t>Total operating hours</t>
  </si>
  <si>
    <t>Hours of operation are not clearly defined by the TRM - to be conservative, we will add the heating and cooling EFLH values to get a total full load hour runtime. This could possibly be improved by backing out actual runtime from the EFLH development methodology</t>
  </si>
  <si>
    <t xml:space="preserve">For systems operating &lt; 6500 hours per year in Ameren territory: </t>
  </si>
  <si>
    <t xml:space="preserve">For systems operating &gt; 6500 hours per year in Ameren territory: </t>
  </si>
  <si>
    <t>This is a variable for the tool user/designer. Line losses are not likely to be known project-to-project either. We will use a conservative value as a default and the tool user can adjust the value here, if known</t>
  </si>
  <si>
    <t>Line losses value</t>
  </si>
  <si>
    <t>intermediate Hgrid value</t>
  </si>
  <si>
    <t>operating hours</t>
  </si>
  <si>
    <t>Therm/kWh</t>
  </si>
  <si>
    <t>Converts source kWh to Therms</t>
  </si>
  <si>
    <t>in output btu/input btu</t>
  </si>
  <si>
    <t>Hot Water Boiler - gas-fired</t>
  </si>
  <si>
    <t>Hot Water Boiler - oil-fired</t>
  </si>
  <si>
    <t>Steam Boiler - gas-fired</t>
  </si>
  <si>
    <t>Steam Boiler - oil-fired</t>
  </si>
  <si>
    <t>Warm Air Furnace - oil-fired</t>
  </si>
  <si>
    <t>Warm Air Furnace - gas-fired</t>
  </si>
  <si>
    <t>Warm Air Unit Heater</t>
  </si>
  <si>
    <t>&lt;300,000 Btu/h</t>
  </si>
  <si>
    <t>300,000-2,500,000 Btu/h</t>
  </si>
  <si>
    <t>&gt;2,500,000 Btu/h</t>
  </si>
  <si>
    <t>&lt;225,000 Btu/h</t>
  </si>
  <si>
    <t>&gt;=225,000 Btu/h</t>
  </si>
  <si>
    <t>Gas Heating inputs</t>
  </si>
  <si>
    <t>I tried doing all heating inputs in one input box, but it was more confusing than helpful</t>
  </si>
  <si>
    <t>Existing Electric Heating System Inputs, If Applicable</t>
  </si>
  <si>
    <t>Deemed or Calculated Values - Should not be changed</t>
  </si>
  <si>
    <t>For TOS and NC, I'm assuming the efficiency rating of the gas system is based on the type of existing system of the same capacity of the new system. For ER, I'm assuming the efficiency rating of the gas system is based on the type and capacity of the existing system</t>
  </si>
  <si>
    <t>HSFPExist is the actual Heating System Performance Factor of existing electric heating system in (kBtu/kWh). If it is not possible to estimate, change to use Time of Use assumptions. (for electric resistance, HSPFexist is 3.14)</t>
  </si>
  <si>
    <t>furnace system subtype options</t>
  </si>
  <si>
    <t>boiler System Subtype options</t>
  </si>
  <si>
    <t>--</t>
  </si>
  <si>
    <t>-Existing Gas System Type-</t>
  </si>
  <si>
    <t>-System Subtype-</t>
  </si>
  <si>
    <t>-Existing Electric System Type-</t>
  </si>
  <si>
    <t>column to to reference in VLOOKUP</t>
  </si>
  <si>
    <t>%</t>
  </si>
  <si>
    <t>Annual Gas Savings - Therms</t>
  </si>
  <si>
    <t>Mid-Life Adjusted Annual Savings - Therms, If Applicable</t>
  </si>
  <si>
    <t>Total annual gas savings</t>
  </si>
  <si>
    <t xml:space="preserve">GasEffExist is the actual efficiency of existing gas boiler or furnace as a percentage (output btu/input btu - AFUE or Ef). If it is not possible to estimate, change to use Time of Use assumptions. </t>
  </si>
  <si>
    <t>Heat rate of the grid in btu/kWh… full description in TRM</t>
  </si>
  <si>
    <t>Energy factor of Baseline natural gas DHW heater</t>
  </si>
  <si>
    <t>1 if baseline/existing heating system is electric. 0 if existing system is non electric</t>
  </si>
  <si>
    <t>[Heating savings from equivalent existing ASHP to GSHP]</t>
  </si>
  <si>
    <t>-Climate Zone-</t>
  </si>
  <si>
    <t>-Select System Type First-</t>
  </si>
  <si>
    <t>I'm really not sure what this case even means, but it's specifically in the TRM. For now it's an option in this tool, but I don't know when it applies</t>
  </si>
  <si>
    <r>
      <t xml:space="preserve">As Per commented, it's possible this means a </t>
    </r>
    <r>
      <rPr>
        <i/>
        <sz val="11"/>
        <color rgb="FFFF0000"/>
        <rFont val="Calibri"/>
        <family val="2"/>
        <scheme val="minor"/>
      </rPr>
      <t>customer</t>
    </r>
    <r>
      <rPr>
        <sz val="11"/>
        <color rgb="FFFF0000"/>
        <rFont val="Calibri"/>
        <family val="2"/>
        <scheme val="minor"/>
      </rPr>
      <t xml:space="preserve"> gets gas or electric only from the utility. For now, we assume that because Ameren is gas and electric, all Ameren projects are both regardless of the customer</t>
    </r>
  </si>
  <si>
    <t>(kWh/kbtu)</t>
  </si>
  <si>
    <t>This is 3.412 in the variable definition, but 3412 in the algorithms. Pretty sure it should be 3412, but maybe verify</t>
  </si>
  <si>
    <t>Electric cooling savings</t>
  </si>
  <si>
    <t>Electric heating savings</t>
  </si>
  <si>
    <t>Electric DHW savings</t>
  </si>
  <si>
    <t>Gas heating savings</t>
  </si>
  <si>
    <t>Gas DHW savings</t>
  </si>
  <si>
    <t>Inputs Completeness Check</t>
  </si>
  <si>
    <t xml:space="preserve">This tool does not yet calculate savings from DHW - some inputs not needed </t>
  </si>
  <si>
    <t>Incentive Qualified for</t>
  </si>
  <si>
    <t>cooling capacity in tons</t>
  </si>
  <si>
    <t>Incentive rate per ton</t>
  </si>
  <si>
    <t>Total Incentive</t>
  </si>
  <si>
    <t>Eligibility</t>
  </si>
  <si>
    <t>Incentive</t>
  </si>
  <si>
    <t>Input completeness</t>
  </si>
  <si>
    <t>Complete - All required inputs have been entered</t>
  </si>
  <si>
    <t>Incomplete - Required inputs still needed</t>
  </si>
  <si>
    <t>Not Needed - Not Applicable to this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</si>
</sst>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0"/>
    <numFmt numFmtId="165" formatCode="_(* #,##0_);_(* \(#,##0\);_(* &quot;-&quot;??_);_(@_)"/>
    <numFmt numFmtId="166" formatCode="_(* #,##0.0_);_(* \(#,##0.0\);_(* &quot;-&quot;??_);_(@_)"/>
    <numFmt numFmtId="167" formatCode="0.0"/>
    <numFmt numFmtId="168" formatCode="0.0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theme="4" tint="0.39997558519241921"/>
      <name val="Calibri"/>
      <family val="2"/>
      <scheme val="minor"/>
    </font>
    <font>
      <b/>
      <sz val="11"/>
      <color theme="1"/>
      <name val="Calibri"/>
      <family val="2"/>
      <scheme val="minor"/>
    </font>
    <font>
      <sz val="10"/>
      <color theme="1"/>
      <name val="Calibri"/>
      <family val="2"/>
      <scheme val="minor"/>
    </font>
    <font>
      <b/>
      <sz val="10"/>
      <color rgb="FFFFFFFF"/>
      <name val="Calibri"/>
      <family val="2"/>
      <scheme val="minor"/>
    </font>
    <font>
      <sz val="10"/>
      <color rgb="FF000000"/>
      <name val="Calibri"/>
      <family val="2"/>
      <scheme val="minor"/>
    </font>
    <font>
      <vertAlign val="subscript"/>
      <sz val="11"/>
      <color theme="1"/>
      <name val="Calibri"/>
      <family val="2"/>
      <scheme val="minor"/>
    </font>
    <font>
      <b/>
      <sz val="10"/>
      <color theme="1"/>
      <name val="Calibri"/>
      <family val="2"/>
      <scheme val="minor"/>
    </font>
    <font>
      <b/>
      <sz val="11"/>
      <color rgb="FFFFFF00"/>
      <name val="Calibri"/>
      <family val="2"/>
      <scheme val="minor"/>
    </font>
    <font>
      <sz val="11"/>
      <color rgb="FF92D050"/>
      <name val="Calibri"/>
      <family val="2"/>
      <scheme val="minor"/>
    </font>
    <font>
      <i/>
      <sz val="11"/>
      <color rgb="FFFF0000"/>
      <name val="Calibri"/>
      <family val="2"/>
      <scheme val="minor"/>
    </font>
  </fonts>
  <fills count="10">
    <fill>
      <patternFill patternType="none"/>
    </fill>
    <fill>
      <patternFill patternType="gray125"/>
    </fill>
    <fill>
      <patternFill patternType="solid">
        <fgColor rgb="FF7F7F7F"/>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00B0F0"/>
        <bgColor indexed="64"/>
      </patternFill>
    </fill>
    <fill>
      <patternFill patternType="solid">
        <fgColor theme="1"/>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theme="1"/>
      </top>
      <bottom/>
      <diagonal/>
    </border>
    <border>
      <left/>
      <right/>
      <top/>
      <bottom style="thin">
        <color theme="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theme="5" tint="-0.249977111117893"/>
      </bottom>
      <diagonal/>
    </border>
    <border>
      <left style="medium">
        <color indexed="64"/>
      </left>
      <right style="thin">
        <color indexed="64"/>
      </right>
      <top style="thin">
        <color indexed="64"/>
      </top>
      <bottom style="thin">
        <color indexed="64"/>
      </bottom>
      <diagonal/>
    </border>
    <border>
      <left/>
      <right style="medium">
        <color indexed="64"/>
      </right>
      <top style="thin">
        <color theme="5" tint="-0.249977111117893"/>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thin">
        <color theme="1"/>
      </bottom>
      <diagonal/>
    </border>
    <border>
      <left/>
      <right style="medium">
        <color indexed="64"/>
      </right>
      <top/>
      <bottom style="thin">
        <color theme="1"/>
      </bottom>
      <diagonal/>
    </border>
    <border>
      <left style="medium">
        <color indexed="64"/>
      </left>
      <right/>
      <top style="thin">
        <color theme="1"/>
      </top>
      <bottom/>
      <diagonal/>
    </border>
    <border>
      <left/>
      <right style="medium">
        <color indexed="64"/>
      </right>
      <top style="thin">
        <color theme="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theme="5" tint="-0.249977111117893"/>
      </top>
      <bottom/>
      <diagonal/>
    </border>
    <border>
      <left style="thin">
        <color indexed="64"/>
      </left>
      <right style="thin">
        <color indexed="64"/>
      </right>
      <top/>
      <bottom style="thin">
        <color theme="5" tint="-0.249977111117893"/>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50">
    <xf numFmtId="0" fontId="0" fillId="0" borderId="0" xfId="0"/>
    <xf numFmtId="9" fontId="0" fillId="0" borderId="0" xfId="0" applyNumberFormat="1"/>
    <xf numFmtId="0" fontId="0" fillId="0" borderId="0" xfId="0" applyAlignment="1"/>
    <xf numFmtId="0" fontId="2" fillId="0" borderId="0" xfId="0" applyFont="1"/>
    <xf numFmtId="0" fontId="0" fillId="0" borderId="5" xfId="0" quotePrefix="1" applyBorder="1"/>
    <xf numFmtId="0" fontId="0" fillId="0" borderId="6" xfId="0" applyBorder="1"/>
    <xf numFmtId="0" fontId="0" fillId="0" borderId="8" xfId="0" applyFill="1" applyBorder="1"/>
    <xf numFmtId="0" fontId="0" fillId="0" borderId="6" xfId="0" applyFill="1" applyBorder="1"/>
    <xf numFmtId="0" fontId="0" fillId="0" borderId="7" xfId="0" applyBorder="1"/>
    <xf numFmtId="0" fontId="0" fillId="0" borderId="5" xfId="0" applyBorder="1"/>
    <xf numFmtId="0" fontId="0" fillId="0" borderId="8" xfId="0" applyBorder="1"/>
    <xf numFmtId="0" fontId="2" fillId="0" borderId="8" xfId="0" applyFont="1" applyBorder="1"/>
    <xf numFmtId="0" fontId="3" fillId="0" borderId="6" xfId="0" applyFont="1" applyBorder="1"/>
    <xf numFmtId="0" fontId="0" fillId="0" borderId="0" xfId="0" applyBorder="1"/>
    <xf numFmtId="0" fontId="3" fillId="0" borderId="8" xfId="0" applyFont="1" applyBorder="1"/>
    <xf numFmtId="0" fontId="0" fillId="0" borderId="0" xfId="0" applyFill="1" applyBorder="1"/>
    <xf numFmtId="0" fontId="0" fillId="0" borderId="0" xfId="0" applyBorder="1" applyAlignment="1">
      <alignment wrapText="1"/>
    </xf>
    <xf numFmtId="0" fontId="7" fillId="2" borderId="19" xfId="0" applyFont="1" applyFill="1" applyBorder="1" applyAlignment="1">
      <alignment horizontal="center" vertical="center" wrapText="1"/>
    </xf>
    <xf numFmtId="0" fontId="8" fillId="0" borderId="2" xfId="0" applyFont="1" applyBorder="1" applyAlignment="1">
      <alignment horizontal="left" vertical="center"/>
    </xf>
    <xf numFmtId="3" fontId="8" fillId="0" borderId="19" xfId="0" applyNumberFormat="1" applyFont="1" applyBorder="1" applyAlignment="1">
      <alignment horizontal="center" vertical="center"/>
    </xf>
    <xf numFmtId="0" fontId="8" fillId="0" borderId="19" xfId="0" applyFont="1" applyBorder="1" applyAlignment="1">
      <alignment horizontal="center" vertical="center"/>
    </xf>
    <xf numFmtId="3" fontId="6" fillId="0" borderId="19" xfId="0" applyNumberFormat="1" applyFont="1" applyBorder="1" applyAlignment="1">
      <alignment horizontal="center" vertical="center"/>
    </xf>
    <xf numFmtId="0" fontId="6" fillId="0" borderId="19" xfId="0" applyFont="1" applyBorder="1" applyAlignment="1">
      <alignment horizontal="center" vertical="center"/>
    </xf>
    <xf numFmtId="0" fontId="8" fillId="0" borderId="2" xfId="0" quotePrefix="1" applyFont="1" applyBorder="1" applyAlignment="1">
      <alignment horizontal="left" vertical="center"/>
    </xf>
    <xf numFmtId="0" fontId="3" fillId="0" borderId="7" xfId="0" applyFont="1" applyBorder="1"/>
    <xf numFmtId="0" fontId="0" fillId="0" borderId="7" xfId="0" applyBorder="1" applyAlignment="1"/>
    <xf numFmtId="0" fontId="0" fillId="0" borderId="7" xfId="0" quotePrefix="1" applyBorder="1"/>
    <xf numFmtId="0" fontId="0" fillId="0" borderId="33" xfId="0" applyBorder="1" applyAlignment="1">
      <alignment horizontal="right"/>
    </xf>
    <xf numFmtId="0" fontId="0" fillId="0" borderId="25" xfId="0" applyBorder="1" applyAlignment="1">
      <alignment horizontal="right"/>
    </xf>
    <xf numFmtId="0" fontId="0" fillId="0" borderId="35" xfId="0" applyBorder="1"/>
    <xf numFmtId="0" fontId="0" fillId="7" borderId="0" xfId="0" applyFill="1"/>
    <xf numFmtId="0" fontId="4" fillId="7" borderId="0" xfId="0" applyFont="1" applyFill="1"/>
    <xf numFmtId="0" fontId="0" fillId="7" borderId="0" xfId="0" quotePrefix="1" applyFill="1"/>
    <xf numFmtId="0" fontId="2" fillId="7" borderId="0" xfId="0" applyFont="1" applyFill="1"/>
    <xf numFmtId="0" fontId="0" fillId="7" borderId="0" xfId="0" applyFill="1" applyBorder="1" applyAlignment="1">
      <alignment wrapText="1"/>
    </xf>
    <xf numFmtId="0" fontId="5" fillId="6" borderId="48" xfId="0" applyFont="1" applyFill="1" applyBorder="1"/>
    <xf numFmtId="0" fontId="5" fillId="6" borderId="49" xfId="0" applyFont="1" applyFill="1" applyBorder="1"/>
    <xf numFmtId="0" fontId="0" fillId="0" borderId="48" xfId="0" applyBorder="1" applyAlignment="1">
      <alignment horizontal="right"/>
    </xf>
    <xf numFmtId="0" fontId="0" fillId="0" borderId="27" xfId="0" applyBorder="1" applyAlignment="1">
      <alignment horizontal="right"/>
    </xf>
    <xf numFmtId="0" fontId="3" fillId="0" borderId="44" xfId="0" applyFont="1" applyBorder="1" applyAlignment="1">
      <alignment horizontal="right"/>
    </xf>
    <xf numFmtId="0" fontId="0" fillId="0" borderId="14" xfId="0" applyBorder="1"/>
    <xf numFmtId="0" fontId="0" fillId="0" borderId="0" xfId="0" applyBorder="1"/>
    <xf numFmtId="0" fontId="2" fillId="0" borderId="0" xfId="0" applyFont="1" applyBorder="1"/>
    <xf numFmtId="0" fontId="0" fillId="0" borderId="56" xfId="0" applyBorder="1" applyAlignment="1">
      <alignment horizontal="right"/>
    </xf>
    <xf numFmtId="0" fontId="0" fillId="4" borderId="7" xfId="0" applyFill="1" applyBorder="1"/>
    <xf numFmtId="0" fontId="0" fillId="4" borderId="35" xfId="0" applyFill="1" applyBorder="1"/>
    <xf numFmtId="0" fontId="0" fillId="0" borderId="60" xfId="0" applyBorder="1"/>
    <xf numFmtId="0" fontId="0" fillId="0" borderId="61" xfId="0" applyBorder="1"/>
    <xf numFmtId="0" fontId="0" fillId="0" borderId="30" xfId="0" applyBorder="1"/>
    <xf numFmtId="0" fontId="0" fillId="0" borderId="34" xfId="0" applyBorder="1"/>
    <xf numFmtId="0" fontId="0" fillId="0" borderId="27" xfId="0" applyBorder="1"/>
    <xf numFmtId="0" fontId="0" fillId="0" borderId="28" xfId="0" applyBorder="1"/>
    <xf numFmtId="0" fontId="8" fillId="0" borderId="0" xfId="0" applyFont="1" applyBorder="1" applyAlignment="1">
      <alignment horizontal="center" vertical="center"/>
    </xf>
    <xf numFmtId="3" fontId="8" fillId="0" borderId="0" xfId="0" applyNumberFormat="1" applyFont="1" applyBorder="1" applyAlignment="1">
      <alignment horizontal="center" vertical="center"/>
    </xf>
    <xf numFmtId="0" fontId="8" fillId="0" borderId="59" xfId="0" applyFont="1" applyBorder="1" applyAlignment="1">
      <alignment horizontal="center" vertical="center"/>
    </xf>
    <xf numFmtId="3" fontId="8" fillId="0" borderId="59" xfId="0" applyNumberFormat="1" applyFont="1" applyBorder="1" applyAlignment="1">
      <alignment horizontal="center" vertical="center"/>
    </xf>
    <xf numFmtId="0" fontId="0" fillId="0" borderId="0" xfId="0" quotePrefix="1" applyAlignment="1">
      <alignment wrapText="1"/>
    </xf>
    <xf numFmtId="0" fontId="10" fillId="0" borderId="0" xfId="0" applyFont="1" applyAlignment="1">
      <alignment horizontal="left" vertical="center"/>
    </xf>
    <xf numFmtId="0" fontId="10" fillId="0" borderId="0" xfId="0" applyFont="1" applyAlignment="1">
      <alignment horizontal="center" vertical="center"/>
    </xf>
    <xf numFmtId="0" fontId="0" fillId="0" borderId="7" xfId="0" applyFill="1" applyBorder="1"/>
    <xf numFmtId="0" fontId="0" fillId="0" borderId="62" xfId="0" applyBorder="1"/>
    <xf numFmtId="0" fontId="0" fillId="0" borderId="53" xfId="0" applyBorder="1"/>
    <xf numFmtId="0" fontId="0" fillId="0" borderId="36" xfId="0" applyBorder="1"/>
    <xf numFmtId="0" fontId="0" fillId="0" borderId="32" xfId="0" applyBorder="1"/>
    <xf numFmtId="0" fontId="0" fillId="0" borderId="33" xfId="0" quotePrefix="1" applyBorder="1"/>
    <xf numFmtId="0" fontId="0" fillId="0" borderId="63" xfId="0" applyBorder="1"/>
    <xf numFmtId="0" fontId="0" fillId="0" borderId="63" xfId="0" applyFill="1" applyBorder="1"/>
    <xf numFmtId="0" fontId="0" fillId="0" borderId="25" xfId="0" applyFill="1" applyBorder="1"/>
    <xf numFmtId="0" fontId="0" fillId="0" borderId="36" xfId="0" applyFill="1" applyBorder="1"/>
    <xf numFmtId="0" fontId="0" fillId="0" borderId="30" xfId="0" quotePrefix="1" applyBorder="1"/>
    <xf numFmtId="0" fontId="0" fillId="0" borderId="30" xfId="0" applyFill="1" applyBorder="1"/>
    <xf numFmtId="0" fontId="0" fillId="0" borderId="54" xfId="0" applyBorder="1"/>
    <xf numFmtId="0" fontId="0" fillId="0" borderId="51" xfId="0" applyBorder="1"/>
    <xf numFmtId="0" fontId="0" fillId="0" borderId="19" xfId="0" applyBorder="1"/>
    <xf numFmtId="0" fontId="0" fillId="0" borderId="20" xfId="0" applyBorder="1"/>
    <xf numFmtId="0" fontId="0" fillId="0" borderId="17" xfId="0" applyBorder="1"/>
    <xf numFmtId="0" fontId="5" fillId="0" borderId="52" xfId="0" applyFont="1" applyBorder="1"/>
    <xf numFmtId="0" fontId="0" fillId="7" borderId="7" xfId="0" applyFill="1" applyBorder="1"/>
    <xf numFmtId="0" fontId="5" fillId="6" borderId="61" xfId="0" applyFont="1" applyFill="1" applyBorder="1" applyAlignment="1">
      <alignment horizontal="center"/>
    </xf>
    <xf numFmtId="0" fontId="0" fillId="7" borderId="30" xfId="0" applyFill="1" applyBorder="1"/>
    <xf numFmtId="0" fontId="0" fillId="7" borderId="34" xfId="0" applyFill="1" applyBorder="1"/>
    <xf numFmtId="0" fontId="0" fillId="7" borderId="33" xfId="0" applyFill="1" applyBorder="1"/>
    <xf numFmtId="0" fontId="0" fillId="7" borderId="65" xfId="0" applyFill="1" applyBorder="1"/>
    <xf numFmtId="0" fontId="5" fillId="6" borderId="26" xfId="0" applyFont="1" applyFill="1" applyBorder="1" applyAlignment="1">
      <alignment horizontal="center"/>
    </xf>
    <xf numFmtId="0" fontId="5" fillId="0" borderId="0" xfId="0" applyFont="1"/>
    <xf numFmtId="166" fontId="0" fillId="7" borderId="7" xfId="2" applyNumberFormat="1" applyFont="1" applyFill="1" applyBorder="1"/>
    <xf numFmtId="166" fontId="0" fillId="0" borderId="7" xfId="2" applyNumberFormat="1" applyFont="1" applyBorder="1" applyAlignment="1">
      <alignment horizontal="justify" vertical="center"/>
    </xf>
    <xf numFmtId="166" fontId="0" fillId="0" borderId="7" xfId="0" applyNumberFormat="1" applyBorder="1"/>
    <xf numFmtId="166" fontId="0" fillId="0" borderId="7" xfId="2" applyNumberFormat="1" applyFont="1" applyBorder="1"/>
    <xf numFmtId="0" fontId="2" fillId="0" borderId="0" xfId="0" applyFont="1" applyBorder="1"/>
    <xf numFmtId="166" fontId="0" fillId="7" borderId="5" xfId="2" applyNumberFormat="1" applyFont="1" applyFill="1" applyBorder="1"/>
    <xf numFmtId="0" fontId="0" fillId="8" borderId="66" xfId="0" applyFill="1" applyBorder="1"/>
    <xf numFmtId="166" fontId="0" fillId="8" borderId="67" xfId="2" applyNumberFormat="1" applyFont="1" applyFill="1" applyBorder="1"/>
    <xf numFmtId="0" fontId="0" fillId="8" borderId="68" xfId="0" applyFill="1" applyBorder="1"/>
    <xf numFmtId="0" fontId="0" fillId="0" borderId="0" xfId="0" applyAlignment="1">
      <alignment wrapText="1"/>
    </xf>
    <xf numFmtId="0" fontId="0" fillId="7" borderId="0" xfId="0" applyFill="1" applyBorder="1"/>
    <xf numFmtId="0" fontId="0" fillId="0" borderId="34" xfId="0" applyBorder="1" applyAlignment="1">
      <alignment horizontal="right"/>
    </xf>
    <xf numFmtId="0" fontId="0" fillId="7" borderId="0" xfId="0" applyFill="1" applyBorder="1" applyAlignment="1">
      <alignment horizontal="left" wrapText="1"/>
    </xf>
    <xf numFmtId="0" fontId="0" fillId="7" borderId="0" xfId="0" applyFill="1" applyBorder="1" applyAlignment="1">
      <alignment horizontal="right"/>
    </xf>
    <xf numFmtId="0" fontId="0" fillId="0" borderId="0" xfId="0" quotePrefix="1"/>
    <xf numFmtId="0" fontId="0" fillId="5" borderId="20" xfId="0" applyFill="1" applyBorder="1"/>
    <xf numFmtId="0" fontId="0" fillId="4" borderId="59" xfId="0" applyFill="1" applyBorder="1"/>
    <xf numFmtId="167" fontId="0" fillId="0" borderId="7" xfId="0" applyNumberFormat="1" applyBorder="1"/>
    <xf numFmtId="0" fontId="3" fillId="0" borderId="0" xfId="0" applyFont="1"/>
    <xf numFmtId="167" fontId="0" fillId="0" borderId="0" xfId="0" applyNumberFormat="1"/>
    <xf numFmtId="167" fontId="3" fillId="0" borderId="0" xfId="0" applyNumberFormat="1" applyFont="1"/>
    <xf numFmtId="166" fontId="0" fillId="7" borderId="59" xfId="2" applyNumberFormat="1" applyFont="1" applyFill="1" applyBorder="1" applyAlignment="1">
      <alignment wrapText="1"/>
    </xf>
    <xf numFmtId="167" fontId="0" fillId="0" borderId="0" xfId="0" applyNumberFormat="1" applyBorder="1"/>
    <xf numFmtId="0" fontId="0" fillId="0" borderId="25" xfId="0" applyBorder="1"/>
    <xf numFmtId="0" fontId="0" fillId="7" borderId="0" xfId="0" applyFill="1" applyBorder="1" applyAlignment="1">
      <alignment horizontal="left" wrapText="1"/>
    </xf>
    <xf numFmtId="0" fontId="0" fillId="0" borderId="14" xfId="0" applyBorder="1"/>
    <xf numFmtId="0" fontId="0" fillId="0" borderId="15" xfId="0" applyBorder="1"/>
    <xf numFmtId="0" fontId="0" fillId="0" borderId="16" xfId="0" applyBorder="1"/>
    <xf numFmtId="0" fontId="5" fillId="6" borderId="61" xfId="0" applyFont="1" applyFill="1" applyBorder="1" applyAlignment="1">
      <alignment horizontal="center"/>
    </xf>
    <xf numFmtId="0" fontId="0" fillId="0" borderId="15" xfId="0" applyBorder="1"/>
    <xf numFmtId="0" fontId="0" fillId="0" borderId="0" xfId="0" applyBorder="1"/>
    <xf numFmtId="0" fontId="2" fillId="0" borderId="0" xfId="0" applyFont="1" applyBorder="1"/>
    <xf numFmtId="0" fontId="0" fillId="7" borderId="0" xfId="0" applyFill="1" applyBorder="1" applyAlignment="1">
      <alignment vertical="center" wrapText="1"/>
    </xf>
    <xf numFmtId="0" fontId="3" fillId="0" borderId="7" xfId="0" applyFont="1" applyBorder="1" applyAlignment="1"/>
    <xf numFmtId="0" fontId="2" fillId="0" borderId="0" xfId="0" applyFont="1" applyAlignment="1"/>
    <xf numFmtId="0" fontId="0" fillId="0" borderId="0" xfId="0" quotePrefix="1" applyAlignment="1"/>
    <xf numFmtId="0" fontId="12" fillId="0" borderId="0" xfId="0" applyFont="1" applyAlignment="1"/>
    <xf numFmtId="0" fontId="12" fillId="0" borderId="0" xfId="0" applyFont="1"/>
    <xf numFmtId="0" fontId="0" fillId="0" borderId="51" xfId="0" applyBorder="1" applyAlignment="1"/>
    <xf numFmtId="0" fontId="2" fillId="0" borderId="51" xfId="0" applyFont="1" applyBorder="1" applyAlignment="1"/>
    <xf numFmtId="0" fontId="0" fillId="0" borderId="0" xfId="0" applyFill="1" applyBorder="1" applyAlignment="1"/>
    <xf numFmtId="9" fontId="0" fillId="5" borderId="20" xfId="0" applyNumberFormat="1" applyFill="1" applyBorder="1"/>
    <xf numFmtId="1" fontId="0" fillId="0" borderId="0" xfId="0" applyNumberFormat="1"/>
    <xf numFmtId="0" fontId="0" fillId="0" borderId="7" xfId="0" applyBorder="1" applyAlignment="1">
      <alignment wrapText="1"/>
    </xf>
    <xf numFmtId="1" fontId="0" fillId="0" borderId="0" xfId="0" applyNumberFormat="1" applyAlignment="1"/>
    <xf numFmtId="168" fontId="0" fillId="0" borderId="0" xfId="0" applyNumberFormat="1" applyAlignment="1"/>
    <xf numFmtId="9" fontId="0" fillId="0" borderId="7" xfId="0" applyNumberFormat="1" applyBorder="1"/>
    <xf numFmtId="1" fontId="0" fillId="0" borderId="7" xfId="0" applyNumberFormat="1" applyBorder="1"/>
    <xf numFmtId="3" fontId="0" fillId="0" borderId="0" xfId="0" applyNumberFormat="1"/>
    <xf numFmtId="9" fontId="0" fillId="0" borderId="15" xfId="0" applyNumberFormat="1" applyBorder="1"/>
    <xf numFmtId="0" fontId="0" fillId="7" borderId="0" xfId="0" applyFill="1" applyAlignment="1">
      <alignment wrapText="1"/>
    </xf>
    <xf numFmtId="0" fontId="0" fillId="7" borderId="54" xfId="0" applyFill="1" applyBorder="1" applyAlignment="1"/>
    <xf numFmtId="0" fontId="0" fillId="7" borderId="2" xfId="0" applyFill="1" applyBorder="1" applyAlignment="1"/>
    <xf numFmtId="9" fontId="0" fillId="0" borderId="0" xfId="3" applyFont="1" applyAlignment="1"/>
    <xf numFmtId="9" fontId="0" fillId="0" borderId="0" xfId="3" applyFont="1" applyBorder="1"/>
    <xf numFmtId="9" fontId="0" fillId="0" borderId="7" xfId="3" applyFont="1" applyBorder="1"/>
    <xf numFmtId="0" fontId="3" fillId="0" borderId="25" xfId="0" applyFont="1" applyBorder="1" applyAlignment="1">
      <alignment horizontal="right"/>
    </xf>
    <xf numFmtId="164" fontId="0" fillId="0" borderId="7" xfId="0" applyNumberFormat="1" applyBorder="1"/>
    <xf numFmtId="0" fontId="3" fillId="4" borderId="7" xfId="0" applyFont="1" applyFill="1" applyBorder="1"/>
    <xf numFmtId="1" fontId="3" fillId="0" borderId="7" xfId="0" applyNumberFormat="1" applyFont="1" applyBorder="1"/>
    <xf numFmtId="0" fontId="0" fillId="0" borderId="36" xfId="0" applyFont="1" applyBorder="1"/>
    <xf numFmtId="0" fontId="5" fillId="0" borderId="36" xfId="0" applyFont="1" applyBorder="1"/>
    <xf numFmtId="0" fontId="0" fillId="0" borderId="0" xfId="0" quotePrefix="1" applyBorder="1"/>
    <xf numFmtId="9" fontId="0" fillId="0" borderId="0" xfId="0" applyNumberFormat="1" applyBorder="1"/>
    <xf numFmtId="0" fontId="0" fillId="0" borderId="0" xfId="0" applyBorder="1" applyAlignment="1">
      <alignment horizontal="right"/>
    </xf>
    <xf numFmtId="0" fontId="0" fillId="0" borderId="36" xfId="0" quotePrefix="1" applyBorder="1"/>
    <xf numFmtId="0" fontId="3" fillId="0" borderId="48" xfId="0" applyFont="1" applyBorder="1" applyAlignment="1">
      <alignment horizontal="right"/>
    </xf>
    <xf numFmtId="0" fontId="3" fillId="0" borderId="35" xfId="0" applyFont="1" applyBorder="1"/>
    <xf numFmtId="0" fontId="0" fillId="9" borderId="7" xfId="0" applyFill="1" applyBorder="1"/>
    <xf numFmtId="0" fontId="0" fillId="9" borderId="35" xfId="0" applyFill="1" applyBorder="1"/>
    <xf numFmtId="0" fontId="0" fillId="7" borderId="0" xfId="0" applyFill="1" applyAlignment="1"/>
    <xf numFmtId="0" fontId="0" fillId="7" borderId="0" xfId="0" applyFill="1" applyAlignment="1">
      <alignment horizontal="right"/>
    </xf>
    <xf numFmtId="0" fontId="0" fillId="7" borderId="69" xfId="0" applyFill="1" applyBorder="1" applyAlignment="1">
      <alignment horizontal="right"/>
    </xf>
    <xf numFmtId="0" fontId="0" fillId="7" borderId="71" xfId="0" applyFill="1" applyBorder="1" applyAlignment="1">
      <alignment horizontal="right"/>
    </xf>
    <xf numFmtId="0" fontId="0" fillId="7" borderId="56" xfId="0" applyFill="1" applyBorder="1" applyAlignment="1">
      <alignment horizontal="right"/>
    </xf>
    <xf numFmtId="0" fontId="0" fillId="7" borderId="24" xfId="0" applyFill="1" applyBorder="1" applyAlignment="1">
      <alignment horizontal="right"/>
    </xf>
    <xf numFmtId="0" fontId="0" fillId="7" borderId="41" xfId="0" applyFill="1" applyBorder="1" applyAlignment="1">
      <alignment horizontal="right"/>
    </xf>
    <xf numFmtId="0" fontId="0" fillId="7" borderId="42" xfId="0" applyFill="1" applyBorder="1" applyAlignment="1">
      <alignment horizontal="right"/>
    </xf>
    <xf numFmtId="0" fontId="3" fillId="4" borderId="7" xfId="0" applyFont="1" applyFill="1" applyBorder="1" applyAlignment="1">
      <alignment horizontal="right"/>
    </xf>
    <xf numFmtId="1" fontId="3" fillId="4" borderId="7" xfId="0" applyNumberFormat="1" applyFont="1" applyFill="1" applyBorder="1" applyAlignment="1">
      <alignment horizontal="right"/>
    </xf>
    <xf numFmtId="0" fontId="3" fillId="5" borderId="0" xfId="0" applyFont="1" applyFill="1" applyBorder="1" applyProtection="1">
      <protection locked="0"/>
    </xf>
    <xf numFmtId="0" fontId="3" fillId="5" borderId="29" xfId="0" applyFont="1" applyFill="1" applyBorder="1" applyAlignment="1" applyProtection="1">
      <protection locked="0"/>
    </xf>
    <xf numFmtId="0" fontId="0" fillId="5" borderId="31" xfId="0" applyFill="1" applyBorder="1" applyAlignment="1" applyProtection="1">
      <protection locked="0"/>
    </xf>
    <xf numFmtId="0" fontId="0" fillId="5" borderId="26" xfId="0" applyFill="1" applyBorder="1" applyProtection="1">
      <protection locked="0"/>
    </xf>
    <xf numFmtId="0" fontId="0" fillId="5" borderId="28" xfId="0" applyFill="1" applyBorder="1" applyProtection="1">
      <protection locked="0"/>
    </xf>
    <xf numFmtId="0" fontId="0" fillId="5" borderId="33" xfId="0" applyFill="1" applyBorder="1" applyProtection="1">
      <protection locked="0"/>
    </xf>
    <xf numFmtId="0" fontId="0" fillId="5" borderId="5" xfId="0" applyFill="1" applyBorder="1" applyProtection="1">
      <protection locked="0"/>
    </xf>
    <xf numFmtId="166" fontId="0" fillId="5" borderId="65" xfId="2" applyNumberFormat="1" applyFont="1" applyFill="1" applyBorder="1" applyProtection="1">
      <protection locked="0"/>
    </xf>
    <xf numFmtId="0" fontId="0" fillId="5" borderId="30" xfId="0" applyFill="1" applyBorder="1" applyProtection="1">
      <protection locked="0"/>
    </xf>
    <xf numFmtId="166" fontId="0" fillId="5" borderId="34" xfId="2" applyNumberFormat="1" applyFont="1" applyFill="1" applyBorder="1" applyProtection="1">
      <protection locked="0"/>
    </xf>
    <xf numFmtId="0" fontId="0" fillId="5" borderId="36" xfId="0" applyFill="1" applyBorder="1" applyProtection="1">
      <protection locked="0"/>
    </xf>
    <xf numFmtId="9" fontId="0" fillId="5" borderId="34" xfId="3" applyFont="1" applyFill="1" applyBorder="1" applyProtection="1">
      <protection locked="0"/>
    </xf>
    <xf numFmtId="166" fontId="0" fillId="5" borderId="59" xfId="2" applyNumberFormat="1" applyFont="1" applyFill="1" applyBorder="1" applyAlignment="1" applyProtection="1">
      <alignment wrapText="1"/>
      <protection locked="0"/>
    </xf>
    <xf numFmtId="165" fontId="0" fillId="5" borderId="0" xfId="2" applyNumberFormat="1" applyFont="1" applyFill="1" applyBorder="1" applyProtection="1">
      <protection locked="0"/>
    </xf>
    <xf numFmtId="166" fontId="0" fillId="5" borderId="7" xfId="2" applyNumberFormat="1" applyFont="1" applyFill="1" applyBorder="1" applyProtection="1">
      <protection locked="0"/>
    </xf>
    <xf numFmtId="165" fontId="0" fillId="5" borderId="7" xfId="2" applyNumberFormat="1" applyFont="1" applyFill="1" applyBorder="1" applyProtection="1">
      <protection locked="0"/>
    </xf>
    <xf numFmtId="1" fontId="0" fillId="3" borderId="7" xfId="2" applyNumberFormat="1" applyFont="1" applyFill="1" applyBorder="1" applyAlignment="1" applyProtection="1">
      <alignment horizontal="right"/>
      <protection locked="0"/>
    </xf>
    <xf numFmtId="0" fontId="0" fillId="3" borderId="7" xfId="0" applyFill="1" applyBorder="1" applyAlignment="1" applyProtection="1">
      <alignment horizontal="right"/>
      <protection locked="0"/>
    </xf>
    <xf numFmtId="0" fontId="0" fillId="3" borderId="7" xfId="2" applyNumberFormat="1" applyFont="1" applyFill="1" applyBorder="1" applyAlignment="1" applyProtection="1">
      <alignment horizontal="right"/>
      <protection locked="0"/>
    </xf>
    <xf numFmtId="167" fontId="0" fillId="3" borderId="7" xfId="0" applyNumberFormat="1" applyFill="1" applyBorder="1" applyAlignment="1" applyProtection="1">
      <alignment horizontal="right"/>
      <protection locked="0"/>
    </xf>
    <xf numFmtId="9" fontId="0" fillId="3" borderId="7" xfId="3" applyFont="1" applyFill="1" applyBorder="1" applyAlignment="1" applyProtection="1">
      <alignment horizontal="right"/>
      <protection locked="0"/>
    </xf>
    <xf numFmtId="164" fontId="0" fillId="3" borderId="7" xfId="0" applyNumberFormat="1" applyFill="1" applyBorder="1" applyAlignment="1" applyProtection="1">
      <alignment horizontal="right"/>
      <protection locked="0"/>
    </xf>
    <xf numFmtId="0" fontId="0" fillId="7" borderId="41" xfId="0" applyFill="1" applyBorder="1" applyAlignment="1">
      <alignment horizontal="center" wrapText="1"/>
    </xf>
    <xf numFmtId="0" fontId="0" fillId="7" borderId="42" xfId="0" applyFill="1" applyBorder="1" applyAlignment="1">
      <alignment horizontal="center" wrapText="1"/>
    </xf>
    <xf numFmtId="0" fontId="0" fillId="7" borderId="43" xfId="0" applyFill="1" applyBorder="1" applyAlignment="1">
      <alignment horizontal="center" wrapText="1"/>
    </xf>
    <xf numFmtId="0" fontId="5" fillId="6" borderId="52" xfId="0" applyFont="1" applyFill="1" applyBorder="1" applyAlignment="1">
      <alignment horizontal="center"/>
    </xf>
    <xf numFmtId="0" fontId="5" fillId="6" borderId="62" xfId="0" applyFont="1" applyFill="1" applyBorder="1" applyAlignment="1">
      <alignment horizontal="center"/>
    </xf>
    <xf numFmtId="0" fontId="5" fillId="6" borderId="53" xfId="0" applyFont="1" applyFill="1" applyBorder="1" applyAlignment="1">
      <alignment horizontal="center"/>
    </xf>
    <xf numFmtId="165" fontId="0" fillId="7" borderId="7" xfId="0" applyNumberFormat="1" applyFill="1" applyBorder="1" applyAlignment="1">
      <alignment horizontal="center" wrapText="1"/>
    </xf>
    <xf numFmtId="165" fontId="0" fillId="7" borderId="34" xfId="0" applyNumberFormat="1" applyFill="1" applyBorder="1" applyAlignment="1">
      <alignment horizontal="center" wrapText="1"/>
    </xf>
    <xf numFmtId="44" fontId="0" fillId="7" borderId="7" xfId="1" applyFont="1" applyFill="1" applyBorder="1" applyAlignment="1">
      <alignment horizontal="center" wrapText="1"/>
    </xf>
    <xf numFmtId="44" fontId="0" fillId="7" borderId="34" xfId="1" applyFont="1" applyFill="1" applyBorder="1" applyAlignment="1">
      <alignment horizontal="center" wrapText="1"/>
    </xf>
    <xf numFmtId="0" fontId="0" fillId="7" borderId="7" xfId="0" applyFill="1" applyBorder="1" applyAlignment="1">
      <alignment horizontal="center" wrapText="1"/>
    </xf>
    <xf numFmtId="0" fontId="0" fillId="7" borderId="34" xfId="0" applyFill="1" applyBorder="1" applyAlignment="1">
      <alignment horizontal="center" wrapText="1"/>
    </xf>
    <xf numFmtId="0" fontId="0" fillId="7" borderId="30" xfId="0" applyFill="1" applyBorder="1" applyAlignment="1">
      <alignment horizontal="right"/>
    </xf>
    <xf numFmtId="0" fontId="0" fillId="7" borderId="7" xfId="0" applyFill="1" applyBorder="1" applyAlignment="1">
      <alignment horizontal="right"/>
    </xf>
    <xf numFmtId="0" fontId="0" fillId="0" borderId="23" xfId="0" applyBorder="1" applyAlignment="1">
      <alignment horizontal="left"/>
    </xf>
    <xf numFmtId="0" fontId="0" fillId="0" borderId="24" xfId="0" applyBorder="1" applyAlignment="1">
      <alignment horizontal="left"/>
    </xf>
    <xf numFmtId="0" fontId="0" fillId="0" borderId="55" xfId="0" applyBorder="1" applyAlignment="1">
      <alignment horizontal="left"/>
    </xf>
    <xf numFmtId="0" fontId="0" fillId="6" borderId="69" xfId="0" applyFill="1" applyBorder="1" applyAlignment="1">
      <alignment horizontal="center"/>
    </xf>
    <xf numFmtId="0" fontId="0" fillId="6" borderId="62" xfId="0" applyFill="1" applyBorder="1" applyAlignment="1">
      <alignment horizontal="center"/>
    </xf>
    <xf numFmtId="0" fontId="0" fillId="6" borderId="72" xfId="0" applyFill="1" applyBorder="1" applyAlignment="1">
      <alignment horizontal="center"/>
    </xf>
    <xf numFmtId="0" fontId="5" fillId="6" borderId="20" xfId="0" applyFont="1" applyFill="1" applyBorder="1" applyAlignment="1">
      <alignment horizontal="left"/>
    </xf>
    <xf numFmtId="0" fontId="5" fillId="6" borderId="18" xfId="0" applyFont="1" applyFill="1" applyBorder="1" applyAlignment="1">
      <alignment horizontal="left"/>
    </xf>
    <xf numFmtId="0" fontId="5" fillId="6" borderId="17" xfId="0" applyFont="1" applyFill="1" applyBorder="1" applyAlignment="1">
      <alignment horizontal="left"/>
    </xf>
    <xf numFmtId="0" fontId="5" fillId="6" borderId="50" xfId="0" applyFont="1" applyFill="1" applyBorder="1" applyAlignment="1">
      <alignment horizontal="left"/>
    </xf>
    <xf numFmtId="0" fontId="5" fillId="6" borderId="51" xfId="0" applyFont="1" applyFill="1" applyBorder="1" applyAlignment="1">
      <alignment horizontal="left"/>
    </xf>
    <xf numFmtId="0" fontId="5" fillId="6" borderId="19" xfId="0" applyFont="1" applyFill="1" applyBorder="1" applyAlignment="1">
      <alignment horizontal="left"/>
    </xf>
    <xf numFmtId="0" fontId="5" fillId="6" borderId="69" xfId="0" applyFont="1" applyFill="1" applyBorder="1" applyAlignment="1">
      <alignment horizontal="center"/>
    </xf>
    <xf numFmtId="0" fontId="5" fillId="6" borderId="71" xfId="0" applyFont="1" applyFill="1" applyBorder="1" applyAlignment="1">
      <alignment horizontal="center"/>
    </xf>
    <xf numFmtId="0" fontId="5" fillId="6" borderId="72" xfId="0" applyFont="1" applyFill="1" applyBorder="1" applyAlignment="1">
      <alignment horizontal="center"/>
    </xf>
    <xf numFmtId="0" fontId="0" fillId="0" borderId="30" xfId="0" applyBorder="1" applyAlignment="1">
      <alignment horizontal="center" vertical="center" wrapText="1"/>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27" xfId="0"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0" fillId="5" borderId="23" xfId="0" applyFill="1" applyBorder="1" applyAlignment="1" applyProtection="1">
      <alignment horizontal="center"/>
      <protection locked="0"/>
    </xf>
    <xf numFmtId="0" fontId="0" fillId="5" borderId="73" xfId="0" applyFill="1" applyBorder="1" applyAlignment="1" applyProtection="1">
      <alignment horizontal="center"/>
      <protection locked="0"/>
    </xf>
    <xf numFmtId="0" fontId="0" fillId="7" borderId="7" xfId="0" applyFill="1" applyBorder="1" applyAlignment="1">
      <alignment horizontal="center"/>
    </xf>
    <xf numFmtId="0" fontId="0" fillId="0" borderId="46" xfId="0" applyBorder="1" applyAlignment="1">
      <alignment horizontal="center" vertical="center" wrapText="1"/>
    </xf>
    <xf numFmtId="0" fontId="0" fillId="0" borderId="10" xfId="0" applyBorder="1" applyAlignment="1">
      <alignment horizontal="center" vertical="center" wrapText="1"/>
    </xf>
    <xf numFmtId="0" fontId="0" fillId="0" borderId="47" xfId="0" applyBorder="1" applyAlignment="1">
      <alignment horizontal="center" vertical="center" wrapText="1"/>
    </xf>
    <xf numFmtId="0" fontId="0" fillId="0" borderId="36"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54" xfId="0" applyBorder="1" applyAlignment="1">
      <alignment horizontal="center" vertical="center" wrapText="1"/>
    </xf>
    <xf numFmtId="0" fontId="0" fillId="0" borderId="51" xfId="0" applyBorder="1" applyAlignment="1">
      <alignment horizontal="center" vertical="center" wrapText="1"/>
    </xf>
    <xf numFmtId="0" fontId="0" fillId="0" borderId="19" xfId="0" applyBorder="1" applyAlignment="1">
      <alignment horizontal="center" vertical="center" wrapText="1"/>
    </xf>
    <xf numFmtId="0" fontId="0" fillId="5" borderId="34" xfId="0" applyFill="1" applyBorder="1" applyAlignment="1">
      <alignment horizontal="center" vertical="center"/>
    </xf>
    <xf numFmtId="0" fontId="3" fillId="3" borderId="34"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28" xfId="0" applyFill="1" applyBorder="1" applyAlignment="1">
      <alignment horizontal="center" vertical="center"/>
    </xf>
    <xf numFmtId="0" fontId="0" fillId="7" borderId="30" xfId="0" applyFill="1" applyBorder="1" applyAlignment="1">
      <alignment horizontal="center" vertical="center" wrapText="1"/>
    </xf>
    <xf numFmtId="0" fontId="0" fillId="7" borderId="27" xfId="0" applyFill="1" applyBorder="1" applyAlignment="1">
      <alignment horizontal="center" vertical="center" wrapText="1"/>
    </xf>
    <xf numFmtId="0" fontId="5" fillId="6" borderId="20" xfId="0" applyFont="1" applyFill="1" applyBorder="1" applyAlignment="1">
      <alignment horizontal="center"/>
    </xf>
    <xf numFmtId="0" fontId="0" fillId="0" borderId="41" xfId="0" applyBorder="1" applyAlignment="1">
      <alignment horizontal="left" wrapText="1"/>
    </xf>
    <xf numFmtId="0" fontId="0" fillId="0" borderId="42" xfId="0" applyBorder="1" applyAlignment="1">
      <alignment horizontal="left" wrapText="1"/>
    </xf>
    <xf numFmtId="0" fontId="0" fillId="0" borderId="43" xfId="0" applyBorder="1" applyAlignment="1">
      <alignment horizontal="left" wrapText="1"/>
    </xf>
    <xf numFmtId="0" fontId="0" fillId="0" borderId="20" xfId="0" applyBorder="1" applyAlignment="1">
      <alignment horizontal="center"/>
    </xf>
    <xf numFmtId="0" fontId="0" fillId="0" borderId="18" xfId="0" applyBorder="1" applyAlignment="1">
      <alignment horizontal="center"/>
    </xf>
    <xf numFmtId="0" fontId="0" fillId="0" borderId="17" xfId="0" applyBorder="1" applyAlignment="1">
      <alignment horizontal="center"/>
    </xf>
    <xf numFmtId="0" fontId="0" fillId="0" borderId="36" xfId="0" applyBorder="1" applyAlignment="1">
      <alignment horizontal="left" vertical="top" wrapText="1"/>
    </xf>
    <xf numFmtId="0" fontId="0" fillId="0" borderId="0" xfId="0" applyBorder="1" applyAlignment="1">
      <alignment horizontal="left" vertical="top" wrapText="1"/>
    </xf>
    <xf numFmtId="0" fontId="0" fillId="0" borderId="32" xfId="0" applyBorder="1" applyAlignment="1">
      <alignment horizontal="left" vertical="top" wrapText="1"/>
    </xf>
    <xf numFmtId="0" fontId="0" fillId="0" borderId="37" xfId="0" applyBorder="1" applyAlignment="1">
      <alignment horizontal="left" vertical="top" wrapText="1"/>
    </xf>
    <xf numFmtId="0" fontId="0" fillId="0" borderId="4"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3" xfId="0" applyBorder="1" applyAlignment="1">
      <alignment horizontal="left" vertical="top" wrapText="1"/>
    </xf>
    <xf numFmtId="0" fontId="0" fillId="0" borderId="40" xfId="0" applyBorder="1" applyAlignment="1">
      <alignment horizontal="left" vertical="top" wrapText="1"/>
    </xf>
    <xf numFmtId="0" fontId="0" fillId="0" borderId="27" xfId="0" applyBorder="1" applyAlignment="1">
      <alignment horizontal="center"/>
    </xf>
    <xf numFmtId="0" fontId="0" fillId="0" borderId="28" xfId="0" applyBorder="1" applyAlignment="1">
      <alignment horizontal="center"/>
    </xf>
    <xf numFmtId="0" fontId="2" fillId="0" borderId="57" xfId="0" applyFont="1" applyBorder="1" applyAlignment="1">
      <alignment horizontal="center" vertical="top" wrapText="1"/>
    </xf>
    <xf numFmtId="0" fontId="2" fillId="0" borderId="8" xfId="0" applyFont="1" applyBorder="1" applyAlignment="1">
      <alignment horizontal="center" vertical="top" wrapText="1"/>
    </xf>
    <xf numFmtId="0" fontId="2" fillId="0" borderId="58" xfId="0" applyFont="1" applyBorder="1" applyAlignment="1">
      <alignment horizontal="center" vertical="top" wrapText="1"/>
    </xf>
    <xf numFmtId="0" fontId="5" fillId="6" borderId="60" xfId="0" applyFont="1" applyFill="1" applyBorder="1" applyAlignment="1">
      <alignment horizontal="center"/>
    </xf>
    <xf numFmtId="0" fontId="5" fillId="6" borderId="64" xfId="0" applyFont="1" applyFill="1" applyBorder="1" applyAlignment="1">
      <alignment horizontal="center"/>
    </xf>
    <xf numFmtId="0" fontId="5" fillId="6" borderId="61" xfId="0" applyFont="1" applyFill="1" applyBorder="1" applyAlignment="1">
      <alignment horizontal="center"/>
    </xf>
    <xf numFmtId="0" fontId="0" fillId="0" borderId="35" xfId="0" applyBorder="1" applyAlignment="1">
      <alignment horizontal="left"/>
    </xf>
    <xf numFmtId="0" fontId="0" fillId="0" borderId="28" xfId="0" applyBorder="1" applyAlignment="1">
      <alignment horizontal="left"/>
    </xf>
    <xf numFmtId="0" fontId="0" fillId="0" borderId="44" xfId="0" applyBorder="1" applyAlignment="1">
      <alignment horizontal="left" vertical="top" wrapText="1"/>
    </xf>
    <xf numFmtId="0" fontId="0" fillId="0" borderId="15"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wrapText="1"/>
    </xf>
    <xf numFmtId="0" fontId="0" fillId="0" borderId="10" xfId="0" applyBorder="1" applyAlignment="1">
      <alignment horizontal="left" wrapText="1"/>
    </xf>
    <xf numFmtId="0" fontId="0" fillId="0" borderId="47" xfId="0" applyBorder="1" applyAlignment="1">
      <alignment horizontal="left" wrapText="1"/>
    </xf>
    <xf numFmtId="0" fontId="0" fillId="0" borderId="36" xfId="0" applyBorder="1" applyAlignment="1">
      <alignment horizontal="left" wrapText="1"/>
    </xf>
    <xf numFmtId="0" fontId="0" fillId="0" borderId="0" xfId="0" applyBorder="1" applyAlignment="1">
      <alignment horizontal="left" wrapText="1"/>
    </xf>
    <xf numFmtId="0" fontId="0" fillId="0" borderId="32" xfId="0" applyBorder="1" applyAlignment="1">
      <alignment horizontal="left" wrapText="1"/>
    </xf>
    <xf numFmtId="0" fontId="0" fillId="0" borderId="44" xfId="0" applyBorder="1" applyAlignment="1">
      <alignment horizontal="left" wrapText="1"/>
    </xf>
    <xf numFmtId="0" fontId="0" fillId="0" borderId="15" xfId="0" applyBorder="1" applyAlignment="1">
      <alignment horizontal="left" wrapText="1"/>
    </xf>
    <xf numFmtId="0" fontId="0" fillId="0" borderId="45" xfId="0" applyBorder="1" applyAlignment="1">
      <alignment horizontal="left" wrapText="1"/>
    </xf>
    <xf numFmtId="0" fontId="0" fillId="0" borderId="7" xfId="0"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0" fillId="0" borderId="28" xfId="0" applyBorder="1" applyAlignment="1">
      <alignment horizontal="left" wrapText="1"/>
    </xf>
    <xf numFmtId="0" fontId="0" fillId="0" borderId="7" xfId="0" applyBorder="1" applyAlignment="1">
      <alignment horizontal="left"/>
    </xf>
    <xf numFmtId="0" fontId="0" fillId="0" borderId="34" xfId="0" applyBorder="1" applyAlignment="1">
      <alignment horizontal="left"/>
    </xf>
    <xf numFmtId="0" fontId="2" fillId="7" borderId="62" xfId="0" applyFont="1" applyFill="1" applyBorder="1" applyAlignment="1">
      <alignment horizontal="center" wrapText="1"/>
    </xf>
    <xf numFmtId="0" fontId="2" fillId="7" borderId="51" xfId="0" applyFont="1" applyFill="1" applyBorder="1" applyAlignment="1">
      <alignment horizontal="center" wrapText="1"/>
    </xf>
    <xf numFmtId="0" fontId="0" fillId="0" borderId="30" xfId="0" applyBorder="1" applyAlignment="1">
      <alignment horizontal="center"/>
    </xf>
    <xf numFmtId="0" fontId="0" fillId="0" borderId="34" xfId="0" applyBorder="1" applyAlignment="1">
      <alignment horizontal="center"/>
    </xf>
    <xf numFmtId="0" fontId="5" fillId="6" borderId="17" xfId="0" applyFont="1" applyFill="1" applyBorder="1" applyAlignment="1">
      <alignment horizontal="center"/>
    </xf>
    <xf numFmtId="0" fontId="0" fillId="0" borderId="6" xfId="0" applyBorder="1" applyAlignment="1">
      <alignment horizontal="left"/>
    </xf>
    <xf numFmtId="0" fontId="0" fillId="0" borderId="26" xfId="0" applyBorder="1" applyAlignment="1">
      <alignment horizontal="left"/>
    </xf>
    <xf numFmtId="0" fontId="0" fillId="7" borderId="75" xfId="0" applyFill="1" applyBorder="1" applyAlignment="1"/>
    <xf numFmtId="0" fontId="0" fillId="7" borderId="42" xfId="0" applyFill="1" applyBorder="1" applyAlignment="1"/>
    <xf numFmtId="0" fontId="0" fillId="7" borderId="43" xfId="0" applyFill="1" applyBorder="1" applyAlignment="1"/>
    <xf numFmtId="0" fontId="0" fillId="7" borderId="74" xfId="0" applyFill="1" applyBorder="1" applyAlignment="1"/>
    <xf numFmtId="0" fontId="0" fillId="7" borderId="71" xfId="0" applyFill="1" applyBorder="1" applyAlignment="1"/>
    <xf numFmtId="0" fontId="0" fillId="7" borderId="72" xfId="0" applyFill="1" applyBorder="1" applyAlignment="1"/>
    <xf numFmtId="0" fontId="0" fillId="7" borderId="23" xfId="0" applyFill="1" applyBorder="1" applyAlignment="1"/>
    <xf numFmtId="0" fontId="0" fillId="7" borderId="24" xfId="0" applyFill="1" applyBorder="1" applyAlignment="1"/>
    <xf numFmtId="0" fontId="0" fillId="7" borderId="55" xfId="0" applyFill="1" applyBorder="1" applyAlignment="1"/>
    <xf numFmtId="0" fontId="5" fillId="6" borderId="70" xfId="0" applyFont="1" applyFill="1" applyBorder="1" applyAlignment="1">
      <alignment horizontal="center"/>
    </xf>
    <xf numFmtId="0" fontId="2" fillId="0" borderId="52" xfId="0" applyFont="1" applyBorder="1" applyAlignment="1">
      <alignment horizontal="center" wrapText="1"/>
    </xf>
    <xf numFmtId="0" fontId="2" fillId="0" borderId="62" xfId="0" applyFont="1" applyBorder="1" applyAlignment="1">
      <alignment horizontal="center" wrapText="1"/>
    </xf>
    <xf numFmtId="0" fontId="2" fillId="0" borderId="53" xfId="0" applyFont="1" applyBorder="1" applyAlignment="1">
      <alignment horizontal="center" wrapText="1"/>
    </xf>
    <xf numFmtId="0" fontId="2" fillId="0" borderId="36" xfId="0" applyFont="1" applyBorder="1" applyAlignment="1">
      <alignment horizontal="center" wrapText="1"/>
    </xf>
    <xf numFmtId="0" fontId="2" fillId="0" borderId="0" xfId="0" applyFont="1" applyBorder="1" applyAlignment="1">
      <alignment horizontal="center" wrapText="1"/>
    </xf>
    <xf numFmtId="0" fontId="2" fillId="0" borderId="32" xfId="0" applyFont="1" applyBorder="1" applyAlignment="1">
      <alignment horizontal="center" wrapText="1"/>
    </xf>
    <xf numFmtId="0" fontId="2" fillId="0" borderId="54" xfId="0" applyFont="1" applyBorder="1" applyAlignment="1">
      <alignment horizontal="center" wrapText="1"/>
    </xf>
    <xf numFmtId="0" fontId="2" fillId="0" borderId="51" xfId="0" applyFont="1" applyBorder="1" applyAlignment="1">
      <alignment horizontal="center" wrapText="1"/>
    </xf>
    <xf numFmtId="0" fontId="2" fillId="0" borderId="19" xfId="0" applyFont="1" applyBorder="1" applyAlignment="1">
      <alignment horizontal="center" wrapText="1"/>
    </xf>
    <xf numFmtId="0" fontId="2" fillId="0" borderId="36" xfId="0" applyFont="1" applyBorder="1" applyAlignment="1">
      <alignment horizontal="left" wrapText="1"/>
    </xf>
    <xf numFmtId="0" fontId="2" fillId="0" borderId="0" xfId="0" applyFont="1" applyBorder="1" applyAlignment="1">
      <alignment horizontal="left" wrapText="1"/>
    </xf>
    <xf numFmtId="0" fontId="2" fillId="0" borderId="52" xfId="0" applyFont="1" applyBorder="1" applyAlignment="1">
      <alignment horizontal="left" wrapText="1"/>
    </xf>
    <xf numFmtId="0" fontId="2" fillId="0" borderId="62"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2" fillId="0" borderId="51" xfId="0" applyFont="1" applyBorder="1" applyAlignment="1">
      <alignment horizontal="left" wrapText="1"/>
    </xf>
    <xf numFmtId="0" fontId="2" fillId="0" borderId="19" xfId="0" applyFont="1" applyBorder="1" applyAlignment="1">
      <alignment horizontal="left" wrapText="1"/>
    </xf>
    <xf numFmtId="0" fontId="2" fillId="0" borderId="32" xfId="0" applyFont="1" applyBorder="1" applyAlignment="1">
      <alignment horizontal="left" wrapText="1"/>
    </xf>
    <xf numFmtId="0" fontId="0" fillId="5" borderId="52" xfId="0" applyFill="1" applyBorder="1" applyAlignment="1">
      <alignment horizontal="center" wrapText="1"/>
    </xf>
    <xf numFmtId="0" fontId="0" fillId="5" borderId="62" xfId="0" applyFill="1" applyBorder="1" applyAlignment="1">
      <alignment horizontal="center" wrapText="1"/>
    </xf>
    <xf numFmtId="0" fontId="0" fillId="5" borderId="54" xfId="0" applyFill="1" applyBorder="1" applyAlignment="1">
      <alignment horizontal="center" wrapText="1"/>
    </xf>
    <xf numFmtId="0" fontId="0" fillId="5" borderId="51" xfId="0" applyFill="1" applyBorder="1" applyAlignment="1">
      <alignment horizontal="center" wrapText="1"/>
    </xf>
    <xf numFmtId="0" fontId="0" fillId="0" borderId="7" xfId="0" applyBorder="1" applyAlignment="1">
      <alignment horizontal="center"/>
    </xf>
    <xf numFmtId="0" fontId="0" fillId="0" borderId="0" xfId="0" applyAlignment="1">
      <alignment horizontal="center"/>
    </xf>
    <xf numFmtId="0" fontId="0" fillId="0" borderId="14" xfId="0" applyBorder="1"/>
    <xf numFmtId="0" fontId="0" fillId="0" borderId="15" xfId="0" applyBorder="1"/>
    <xf numFmtId="0" fontId="0" fillId="0" borderId="16" xfId="0" applyBorder="1"/>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3" fillId="0" borderId="12" xfId="0" applyFont="1" applyBorder="1"/>
    <xf numFmtId="0" fontId="3" fillId="0" borderId="0" xfId="0" applyFont="1" applyBorder="1"/>
    <xf numFmtId="0" fontId="3" fillId="0" borderId="13" xfId="0" applyFont="1" applyBorder="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cellXfs>
  <cellStyles count="4">
    <cellStyle name="Comma" xfId="2" builtinId="3"/>
    <cellStyle name="Currency" xfId="1" builtinId="4"/>
    <cellStyle name="Normal" xfId="0" builtinId="0"/>
    <cellStyle name="Percent" xfId="3" builtinId="5"/>
  </cellStyles>
  <dxfs count="2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color theme="5" tint="-0.24994659260841701"/>
      </font>
    </dxf>
    <dxf>
      <fill>
        <patternFill>
          <bgColor theme="1"/>
        </patternFill>
      </fill>
    </dxf>
    <dxf>
      <fill>
        <patternFill>
          <bgColor rgb="FFC000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7" tint="0.39994506668294322"/>
        </patternFill>
      </fill>
    </dxf>
    <dxf>
      <border>
        <left style="thin">
          <color theme="9"/>
        </left>
        <right style="thin">
          <color theme="9"/>
        </right>
        <top style="thin">
          <color theme="9"/>
        </top>
        <bottom style="thin">
          <color theme="9"/>
        </bottom>
        <vertical/>
        <horizontal/>
      </border>
    </dxf>
    <dxf>
      <border>
        <left style="thin">
          <color theme="5" tint="-0.24994659260841701"/>
        </left>
        <right style="thin">
          <color theme="5" tint="-0.24994659260841701"/>
        </right>
        <top style="thin">
          <color theme="5" tint="-0.24994659260841701"/>
        </top>
        <bottom style="thin">
          <color theme="5" tint="-0.24994659260841701"/>
        </bottom>
        <vertical/>
        <horizontal/>
      </border>
    </dxf>
    <dxf>
      <border>
        <left style="thin">
          <color theme="9"/>
        </left>
        <right style="thin">
          <color theme="9"/>
        </right>
        <top style="thin">
          <color theme="9"/>
        </top>
        <bottom style="thin">
          <color theme="9"/>
        </bottom>
        <vertical/>
        <horizontal/>
      </border>
    </dxf>
    <dxf>
      <border>
        <left style="thin">
          <color theme="5" tint="-0.24994659260841701"/>
        </left>
        <right style="thin">
          <color theme="5" tint="-0.24994659260841701"/>
        </right>
        <top style="thin">
          <color theme="5" tint="-0.24994659260841701"/>
        </top>
        <bottom style="thin">
          <color theme="5" tint="-0.24994659260841701"/>
        </bottom>
        <vertical/>
        <horizontal/>
      </border>
    </dxf>
    <dxf>
      <border>
        <left style="thin">
          <color theme="9"/>
        </left>
        <right style="thin">
          <color theme="9"/>
        </right>
        <top style="thin">
          <color theme="9"/>
        </top>
        <bottom style="thin">
          <color theme="9"/>
        </bottom>
        <vertical/>
        <horizontal/>
      </border>
    </dxf>
    <dxf>
      <border>
        <left style="thin">
          <color theme="5" tint="-0.24994659260841701"/>
        </left>
        <right style="thin">
          <color theme="5" tint="-0.24994659260841701"/>
        </right>
        <top style="thin">
          <color theme="5" tint="-0.24994659260841701"/>
        </top>
        <bottom style="thin">
          <color theme="5" tint="-0.24994659260841701"/>
        </bottom>
        <vertical/>
        <horizontal/>
      </border>
    </dxf>
    <dxf>
      <fill>
        <patternFill>
          <bgColor theme="5" tint="-0.24994659260841701"/>
        </patternFill>
      </fill>
    </dxf>
    <dxf>
      <border>
        <left style="thin">
          <color theme="9"/>
        </left>
        <right style="thin">
          <color theme="9"/>
        </right>
        <top style="thin">
          <color theme="9"/>
        </top>
        <bottom style="thin">
          <color theme="9"/>
        </bottom>
        <vertical/>
        <horizontal/>
      </border>
    </dxf>
    <dxf>
      <border>
        <left style="thin">
          <color theme="5" tint="-0.24994659260841701"/>
        </left>
        <right style="thin">
          <color theme="5" tint="-0.24994659260841701"/>
        </right>
        <top style="thin">
          <color theme="5" tint="-0.24994659260841701"/>
        </top>
        <bottom style="thin">
          <color theme="5" tint="-0.2499465926084170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93</xdr:row>
      <xdr:rowOff>0</xdr:rowOff>
    </xdr:from>
    <xdr:to>
      <xdr:col>7</xdr:col>
      <xdr:colOff>1244600</xdr:colOff>
      <xdr:row>121</xdr:row>
      <xdr:rowOff>162560</xdr:rowOff>
    </xdr:to>
    <xdr:pic>
      <xdr:nvPicPr>
        <xdr:cNvPr id="2" name="Picture 1">
          <a:extLst>
            <a:ext uri="{FF2B5EF4-FFF2-40B4-BE49-F238E27FC236}">
              <a16:creationId xmlns:a16="http://schemas.microsoft.com/office/drawing/2014/main" id="{8257D164-9E71-41E7-AF9D-4F64B1248D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30950"/>
          <a:ext cx="5943600" cy="5499735"/>
        </a:xfrm>
        <a:prstGeom prst="rect">
          <a:avLst/>
        </a:prstGeom>
      </xdr:spPr>
    </xdr:pic>
    <xdr:clientData/>
  </xdr:twoCellAnchor>
  <xdr:twoCellAnchor editAs="oneCell">
    <xdr:from>
      <xdr:col>1</xdr:col>
      <xdr:colOff>0</xdr:colOff>
      <xdr:row>124</xdr:row>
      <xdr:rowOff>0</xdr:rowOff>
    </xdr:from>
    <xdr:to>
      <xdr:col>7</xdr:col>
      <xdr:colOff>1244600</xdr:colOff>
      <xdr:row>153</xdr:row>
      <xdr:rowOff>139700</xdr:rowOff>
    </xdr:to>
    <xdr:pic>
      <xdr:nvPicPr>
        <xdr:cNvPr id="3" name="Picture 2">
          <a:extLst>
            <a:ext uri="{FF2B5EF4-FFF2-40B4-BE49-F238E27FC236}">
              <a16:creationId xmlns:a16="http://schemas.microsoft.com/office/drawing/2014/main" id="{BF09B00D-3B98-438D-B2B2-65772E08446C}"/>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3205" b="1874"/>
        <a:stretch/>
      </xdr:blipFill>
      <xdr:spPr bwMode="auto">
        <a:xfrm>
          <a:off x="609600" y="24936450"/>
          <a:ext cx="5943600" cy="56673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0</xdr:colOff>
      <xdr:row>156</xdr:row>
      <xdr:rowOff>0</xdr:rowOff>
    </xdr:from>
    <xdr:to>
      <xdr:col>7</xdr:col>
      <xdr:colOff>1244600</xdr:colOff>
      <xdr:row>172</xdr:row>
      <xdr:rowOff>78105</xdr:rowOff>
    </xdr:to>
    <xdr:pic>
      <xdr:nvPicPr>
        <xdr:cNvPr id="4" name="Picture 3">
          <a:extLst>
            <a:ext uri="{FF2B5EF4-FFF2-40B4-BE49-F238E27FC236}">
              <a16:creationId xmlns:a16="http://schemas.microsoft.com/office/drawing/2014/main" id="{3F41DC8D-FB22-4ADB-882A-5265FC95226A}"/>
            </a:ext>
          </a:extLst>
        </xdr:cNvPr>
        <xdr:cNvPicPr/>
      </xdr:nvPicPr>
      <xdr:blipFill>
        <a:blip xmlns:r="http://schemas.openxmlformats.org/officeDocument/2006/relationships" r:embed="rId3"/>
        <a:stretch>
          <a:fillRect/>
        </a:stretch>
      </xdr:blipFill>
      <xdr:spPr>
        <a:xfrm>
          <a:off x="609600" y="31032450"/>
          <a:ext cx="5943600" cy="3126105"/>
        </a:xfrm>
        <a:prstGeom prst="rect">
          <a:avLst/>
        </a:prstGeom>
      </xdr:spPr>
    </xdr:pic>
    <xdr:clientData/>
  </xdr:twoCellAnchor>
  <xdr:twoCellAnchor editAs="oneCell">
    <xdr:from>
      <xdr:col>1</xdr:col>
      <xdr:colOff>0</xdr:colOff>
      <xdr:row>175</xdr:row>
      <xdr:rowOff>0</xdr:rowOff>
    </xdr:from>
    <xdr:to>
      <xdr:col>7</xdr:col>
      <xdr:colOff>1244600</xdr:colOff>
      <xdr:row>185</xdr:row>
      <xdr:rowOff>124460</xdr:rowOff>
    </xdr:to>
    <xdr:pic>
      <xdr:nvPicPr>
        <xdr:cNvPr id="5" name="Picture 4">
          <a:extLst>
            <a:ext uri="{FF2B5EF4-FFF2-40B4-BE49-F238E27FC236}">
              <a16:creationId xmlns:a16="http://schemas.microsoft.com/office/drawing/2014/main" id="{CA692F51-CC45-41DD-8509-94DD1C4F29B1}"/>
            </a:ext>
          </a:extLst>
        </xdr:cNvPr>
        <xdr:cNvPicPr/>
      </xdr:nvPicPr>
      <xdr:blipFill>
        <a:blip xmlns:r="http://schemas.openxmlformats.org/officeDocument/2006/relationships" r:embed="rId4"/>
        <a:stretch>
          <a:fillRect/>
        </a:stretch>
      </xdr:blipFill>
      <xdr:spPr>
        <a:xfrm>
          <a:off x="609600" y="34651950"/>
          <a:ext cx="5943600" cy="2032635"/>
        </a:xfrm>
        <a:prstGeom prst="rect">
          <a:avLst/>
        </a:prstGeom>
      </xdr:spPr>
    </xdr:pic>
    <xdr:clientData/>
  </xdr:twoCellAnchor>
  <xdr:twoCellAnchor editAs="oneCell">
    <xdr:from>
      <xdr:col>1</xdr:col>
      <xdr:colOff>0</xdr:colOff>
      <xdr:row>189</xdr:row>
      <xdr:rowOff>0</xdr:rowOff>
    </xdr:from>
    <xdr:to>
      <xdr:col>7</xdr:col>
      <xdr:colOff>1244600</xdr:colOff>
      <xdr:row>203</xdr:row>
      <xdr:rowOff>29845</xdr:rowOff>
    </xdr:to>
    <xdr:pic>
      <xdr:nvPicPr>
        <xdr:cNvPr id="6" name="Picture 5">
          <a:extLst>
            <a:ext uri="{FF2B5EF4-FFF2-40B4-BE49-F238E27FC236}">
              <a16:creationId xmlns:a16="http://schemas.microsoft.com/office/drawing/2014/main" id="{B9821FFE-72B6-4B07-9BC4-4C61400A8C82}"/>
            </a:ext>
          </a:extLst>
        </xdr:cNvPr>
        <xdr:cNvPicPr/>
      </xdr:nvPicPr>
      <xdr:blipFill>
        <a:blip xmlns:r="http://schemas.openxmlformats.org/officeDocument/2006/relationships" r:embed="rId5"/>
        <a:stretch>
          <a:fillRect/>
        </a:stretch>
      </xdr:blipFill>
      <xdr:spPr>
        <a:xfrm>
          <a:off x="609600" y="37318950"/>
          <a:ext cx="5943600" cy="2700020"/>
        </a:xfrm>
        <a:prstGeom prst="rect">
          <a:avLst/>
        </a:prstGeom>
      </xdr:spPr>
    </xdr:pic>
    <xdr:clientData/>
  </xdr:twoCellAnchor>
  <xdr:twoCellAnchor editAs="oneCell">
    <xdr:from>
      <xdr:col>1</xdr:col>
      <xdr:colOff>0</xdr:colOff>
      <xdr:row>206</xdr:row>
      <xdr:rowOff>0</xdr:rowOff>
    </xdr:from>
    <xdr:to>
      <xdr:col>7</xdr:col>
      <xdr:colOff>1244600</xdr:colOff>
      <xdr:row>232</xdr:row>
      <xdr:rowOff>142240</xdr:rowOff>
    </xdr:to>
    <xdr:pic>
      <xdr:nvPicPr>
        <xdr:cNvPr id="7" name="Picture 6">
          <a:extLst>
            <a:ext uri="{FF2B5EF4-FFF2-40B4-BE49-F238E27FC236}">
              <a16:creationId xmlns:a16="http://schemas.microsoft.com/office/drawing/2014/main" id="{66D0FA6D-3E14-40F3-869B-6836BC87DE33}"/>
            </a:ext>
          </a:extLst>
        </xdr:cNvPr>
        <xdr:cNvPicPr/>
      </xdr:nvPicPr>
      <xdr:blipFill>
        <a:blip xmlns:r="http://schemas.openxmlformats.org/officeDocument/2006/relationships" r:embed="rId6"/>
        <a:stretch>
          <a:fillRect/>
        </a:stretch>
      </xdr:blipFill>
      <xdr:spPr>
        <a:xfrm>
          <a:off x="609600" y="40557450"/>
          <a:ext cx="5943600" cy="5092065"/>
        </a:xfrm>
        <a:prstGeom prst="rect">
          <a:avLst/>
        </a:prstGeom>
      </xdr:spPr>
    </xdr:pic>
    <xdr:clientData/>
  </xdr:twoCellAnchor>
  <xdr:twoCellAnchor editAs="oneCell">
    <xdr:from>
      <xdr:col>1</xdr:col>
      <xdr:colOff>0</xdr:colOff>
      <xdr:row>235</xdr:row>
      <xdr:rowOff>0</xdr:rowOff>
    </xdr:from>
    <xdr:to>
      <xdr:col>7</xdr:col>
      <xdr:colOff>1244600</xdr:colOff>
      <xdr:row>256</xdr:row>
      <xdr:rowOff>28575</xdr:rowOff>
    </xdr:to>
    <xdr:pic>
      <xdr:nvPicPr>
        <xdr:cNvPr id="8" name="Picture 7">
          <a:extLst>
            <a:ext uri="{FF2B5EF4-FFF2-40B4-BE49-F238E27FC236}">
              <a16:creationId xmlns:a16="http://schemas.microsoft.com/office/drawing/2014/main" id="{E92BC0A1-A12D-4298-B319-A8FA49AD94A8}"/>
            </a:ext>
          </a:extLst>
        </xdr:cNvPr>
        <xdr:cNvPicPr/>
      </xdr:nvPicPr>
      <xdr:blipFill>
        <a:blip xmlns:r="http://schemas.openxmlformats.org/officeDocument/2006/relationships" r:embed="rId7"/>
        <a:stretch>
          <a:fillRect/>
        </a:stretch>
      </xdr:blipFill>
      <xdr:spPr>
        <a:xfrm>
          <a:off x="609600" y="46081950"/>
          <a:ext cx="5943600" cy="4025900"/>
        </a:xfrm>
        <a:prstGeom prst="rect">
          <a:avLst/>
        </a:prstGeom>
      </xdr:spPr>
    </xdr:pic>
    <xdr:clientData/>
  </xdr:twoCellAnchor>
  <xdr:twoCellAnchor editAs="oneCell">
    <xdr:from>
      <xdr:col>1</xdr:col>
      <xdr:colOff>0</xdr:colOff>
      <xdr:row>259</xdr:row>
      <xdr:rowOff>0</xdr:rowOff>
    </xdr:from>
    <xdr:to>
      <xdr:col>7</xdr:col>
      <xdr:colOff>1244600</xdr:colOff>
      <xdr:row>292</xdr:row>
      <xdr:rowOff>64135</xdr:rowOff>
    </xdr:to>
    <xdr:pic>
      <xdr:nvPicPr>
        <xdr:cNvPr id="9" name="Picture 8">
          <a:extLst>
            <a:ext uri="{FF2B5EF4-FFF2-40B4-BE49-F238E27FC236}">
              <a16:creationId xmlns:a16="http://schemas.microsoft.com/office/drawing/2014/main" id="{C9DB98C7-5F64-4F18-AB0F-3DFD582ED0D9}"/>
            </a:ext>
          </a:extLst>
        </xdr:cNvPr>
        <xdr:cNvPicPr/>
      </xdr:nvPicPr>
      <xdr:blipFill>
        <a:blip xmlns:r="http://schemas.openxmlformats.org/officeDocument/2006/relationships" r:embed="rId8"/>
        <a:stretch>
          <a:fillRect/>
        </a:stretch>
      </xdr:blipFill>
      <xdr:spPr>
        <a:xfrm>
          <a:off x="609600" y="50653950"/>
          <a:ext cx="5943600" cy="6353810"/>
        </a:xfrm>
        <a:prstGeom prst="rect">
          <a:avLst/>
        </a:prstGeom>
      </xdr:spPr>
    </xdr:pic>
    <xdr:clientData/>
  </xdr:twoCellAnchor>
  <xdr:twoCellAnchor editAs="oneCell">
    <xdr:from>
      <xdr:col>1</xdr:col>
      <xdr:colOff>0</xdr:colOff>
      <xdr:row>295</xdr:row>
      <xdr:rowOff>0</xdr:rowOff>
    </xdr:from>
    <xdr:to>
      <xdr:col>7</xdr:col>
      <xdr:colOff>1244600</xdr:colOff>
      <xdr:row>313</xdr:row>
      <xdr:rowOff>162560</xdr:rowOff>
    </xdr:to>
    <xdr:pic>
      <xdr:nvPicPr>
        <xdr:cNvPr id="10" name="Picture 9">
          <a:extLst>
            <a:ext uri="{FF2B5EF4-FFF2-40B4-BE49-F238E27FC236}">
              <a16:creationId xmlns:a16="http://schemas.microsoft.com/office/drawing/2014/main" id="{985FE9B9-515D-4423-A076-F03773E3E2D9}"/>
            </a:ext>
          </a:extLst>
        </xdr:cNvPr>
        <xdr:cNvPicPr/>
      </xdr:nvPicPr>
      <xdr:blipFill>
        <a:blip xmlns:r="http://schemas.openxmlformats.org/officeDocument/2006/relationships" r:embed="rId9"/>
        <a:stretch>
          <a:fillRect/>
        </a:stretch>
      </xdr:blipFill>
      <xdr:spPr>
        <a:xfrm>
          <a:off x="609600" y="57511950"/>
          <a:ext cx="5943600" cy="3594735"/>
        </a:xfrm>
        <a:prstGeom prst="rect">
          <a:avLst/>
        </a:prstGeom>
      </xdr:spPr>
    </xdr:pic>
    <xdr:clientData/>
  </xdr:twoCellAnchor>
  <xdr:twoCellAnchor editAs="oneCell">
    <xdr:from>
      <xdr:col>1</xdr:col>
      <xdr:colOff>0</xdr:colOff>
      <xdr:row>316</xdr:row>
      <xdr:rowOff>0</xdr:rowOff>
    </xdr:from>
    <xdr:to>
      <xdr:col>7</xdr:col>
      <xdr:colOff>1244600</xdr:colOff>
      <xdr:row>329</xdr:row>
      <xdr:rowOff>78740</xdr:rowOff>
    </xdr:to>
    <xdr:pic>
      <xdr:nvPicPr>
        <xdr:cNvPr id="11" name="Picture 10">
          <a:extLst>
            <a:ext uri="{FF2B5EF4-FFF2-40B4-BE49-F238E27FC236}">
              <a16:creationId xmlns:a16="http://schemas.microsoft.com/office/drawing/2014/main" id="{0BC28252-0F2E-4B22-B56C-EC71EF0C40ED}"/>
            </a:ext>
          </a:extLst>
        </xdr:cNvPr>
        <xdr:cNvPicPr/>
      </xdr:nvPicPr>
      <xdr:blipFill>
        <a:blip xmlns:r="http://schemas.openxmlformats.org/officeDocument/2006/relationships" r:embed="rId10"/>
        <a:stretch>
          <a:fillRect/>
        </a:stretch>
      </xdr:blipFill>
      <xdr:spPr>
        <a:xfrm>
          <a:off x="609600" y="61512450"/>
          <a:ext cx="5943600" cy="2555240"/>
        </a:xfrm>
        <a:prstGeom prst="rect">
          <a:avLst/>
        </a:prstGeom>
      </xdr:spPr>
    </xdr:pic>
    <xdr:clientData/>
  </xdr:twoCellAnchor>
  <xdr:twoCellAnchor editAs="oneCell">
    <xdr:from>
      <xdr:col>1</xdr:col>
      <xdr:colOff>0</xdr:colOff>
      <xdr:row>332</xdr:row>
      <xdr:rowOff>0</xdr:rowOff>
    </xdr:from>
    <xdr:to>
      <xdr:col>7</xdr:col>
      <xdr:colOff>1244600</xdr:colOff>
      <xdr:row>353</xdr:row>
      <xdr:rowOff>1905</xdr:rowOff>
    </xdr:to>
    <xdr:pic>
      <xdr:nvPicPr>
        <xdr:cNvPr id="12" name="Picture 11">
          <a:extLst>
            <a:ext uri="{FF2B5EF4-FFF2-40B4-BE49-F238E27FC236}">
              <a16:creationId xmlns:a16="http://schemas.microsoft.com/office/drawing/2014/main" id="{A6AC86DD-36D7-41FE-BBB4-954F927030F0}"/>
            </a:ext>
          </a:extLst>
        </xdr:cNvPr>
        <xdr:cNvPicPr/>
      </xdr:nvPicPr>
      <xdr:blipFill>
        <a:blip xmlns:r="http://schemas.openxmlformats.org/officeDocument/2006/relationships" r:embed="rId11"/>
        <a:stretch>
          <a:fillRect/>
        </a:stretch>
      </xdr:blipFill>
      <xdr:spPr>
        <a:xfrm>
          <a:off x="609600" y="64560450"/>
          <a:ext cx="5943600" cy="39992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94405-3AE4-4B5E-B185-411098C34698}">
  <dimension ref="A1:AE103"/>
  <sheetViews>
    <sheetView tabSelected="1" workbookViewId="0">
      <selection activeCell="C61" sqref="C61"/>
    </sheetView>
  </sheetViews>
  <sheetFormatPr defaultRowHeight="15" x14ac:dyDescent="0.25"/>
  <cols>
    <col min="1" max="1" width="3.28515625" customWidth="1"/>
    <col min="2" max="2" width="24.5703125" customWidth="1"/>
    <col min="3" max="3" width="25.42578125" customWidth="1"/>
    <col min="4" max="4" width="14.42578125" customWidth="1"/>
    <col min="5" max="5" width="13.85546875" customWidth="1"/>
    <col min="6" max="6" width="11.85546875" customWidth="1"/>
    <col min="7" max="7" width="11.5703125" customWidth="1"/>
    <col min="8" max="8" width="10.85546875" customWidth="1"/>
    <col min="9" max="9" width="14.28515625" customWidth="1"/>
    <col min="11" max="11" width="9.140625" customWidth="1"/>
    <col min="19" max="19" width="14" customWidth="1"/>
    <col min="20" max="20" width="12" customWidth="1"/>
    <col min="21" max="21" width="13.7109375" customWidth="1"/>
  </cols>
  <sheetData>
    <row r="1" spans="1:31" ht="15.75" thickBot="1" x14ac:dyDescent="0.3">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5.75" thickBot="1" x14ac:dyDescent="0.3">
      <c r="A2" s="30"/>
      <c r="B2" s="190" t="s">
        <v>173</v>
      </c>
      <c r="C2" s="192"/>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1" ht="14.45" customHeight="1" thickBot="1" x14ac:dyDescent="0.3">
      <c r="A3" s="30"/>
      <c r="B3" s="238" t="s">
        <v>350</v>
      </c>
      <c r="C3" s="234" t="s">
        <v>171</v>
      </c>
      <c r="D3" s="30"/>
      <c r="E3" s="244" t="s">
        <v>147</v>
      </c>
      <c r="F3" s="245"/>
      <c r="G3" s="245"/>
      <c r="H3" s="245"/>
      <c r="I3" s="245"/>
      <c r="J3" s="245"/>
      <c r="K3" s="245"/>
      <c r="L3" s="245"/>
      <c r="M3" s="245"/>
      <c r="N3" s="245"/>
      <c r="O3" s="245"/>
      <c r="P3" s="246"/>
      <c r="Q3" s="30"/>
      <c r="R3" s="30"/>
      <c r="S3" s="30"/>
      <c r="T3" s="30"/>
      <c r="U3" s="30"/>
      <c r="V3" s="30"/>
      <c r="W3" s="30"/>
      <c r="X3" s="30"/>
      <c r="Y3" s="30"/>
      <c r="Z3" s="30"/>
      <c r="AA3" s="30"/>
      <c r="AB3" s="30"/>
      <c r="AC3" s="30"/>
      <c r="AD3" s="30"/>
      <c r="AE3" s="30"/>
    </row>
    <row r="4" spans="1:31" ht="14.45" customHeight="1" x14ac:dyDescent="0.25">
      <c r="A4" s="30"/>
      <c r="B4" s="238"/>
      <c r="C4" s="234"/>
      <c r="D4" s="30"/>
      <c r="E4" s="266" t="s">
        <v>148</v>
      </c>
      <c r="F4" s="267"/>
      <c r="G4" s="267"/>
      <c r="H4" s="267"/>
      <c r="I4" s="267"/>
      <c r="J4" s="267"/>
      <c r="K4" s="267"/>
      <c r="L4" s="267"/>
      <c r="M4" s="267"/>
      <c r="N4" s="267"/>
      <c r="O4" s="267"/>
      <c r="P4" s="268"/>
      <c r="Q4" s="30"/>
      <c r="R4" s="30"/>
      <c r="S4" s="30"/>
      <c r="T4" s="30"/>
      <c r="U4" s="30"/>
      <c r="V4" s="30"/>
      <c r="W4" s="30"/>
      <c r="X4" s="30"/>
      <c r="Y4" s="30"/>
      <c r="Z4" s="30"/>
      <c r="AA4" s="30"/>
      <c r="AB4" s="30"/>
      <c r="AC4" s="30"/>
      <c r="AD4" s="30"/>
      <c r="AE4" s="30"/>
    </row>
    <row r="5" spans="1:31" ht="14.45" customHeight="1" x14ac:dyDescent="0.25">
      <c r="A5" s="30"/>
      <c r="B5" s="238"/>
      <c r="C5" s="235" t="s">
        <v>183</v>
      </c>
      <c r="D5" s="30"/>
      <c r="E5" s="269" t="s">
        <v>151</v>
      </c>
      <c r="F5" s="270"/>
      <c r="G5" s="270"/>
      <c r="H5" s="270"/>
      <c r="I5" s="270"/>
      <c r="J5" s="270"/>
      <c r="K5" s="270"/>
      <c r="L5" s="270"/>
      <c r="M5" s="270"/>
      <c r="N5" s="270"/>
      <c r="O5" s="270"/>
      <c r="P5" s="271"/>
      <c r="Q5" s="30"/>
      <c r="R5" s="30"/>
      <c r="S5" s="30"/>
      <c r="T5" s="30"/>
      <c r="U5" s="30"/>
      <c r="V5" s="30"/>
      <c r="W5" s="30"/>
      <c r="X5" s="30"/>
      <c r="Y5" s="30"/>
      <c r="Z5" s="30"/>
      <c r="AA5" s="30"/>
      <c r="AB5" s="30"/>
      <c r="AC5" s="30"/>
      <c r="AD5" s="30"/>
      <c r="AE5" s="30"/>
    </row>
    <row r="6" spans="1:31" ht="14.45" customHeight="1" x14ac:dyDescent="0.25">
      <c r="A6" s="30"/>
      <c r="B6" s="238"/>
      <c r="C6" s="235"/>
      <c r="D6" s="30"/>
      <c r="E6" s="272"/>
      <c r="F6" s="273"/>
      <c r="G6" s="273"/>
      <c r="H6" s="273"/>
      <c r="I6" s="273"/>
      <c r="J6" s="273"/>
      <c r="K6" s="273"/>
      <c r="L6" s="273"/>
      <c r="M6" s="273"/>
      <c r="N6" s="273"/>
      <c r="O6" s="273"/>
      <c r="P6" s="274"/>
      <c r="Q6" s="30"/>
      <c r="R6" s="30"/>
      <c r="S6" s="30"/>
      <c r="T6" s="30"/>
      <c r="U6" s="30"/>
      <c r="V6" s="30"/>
      <c r="W6" s="30"/>
      <c r="X6" s="30"/>
      <c r="Y6" s="30"/>
      <c r="Z6" s="30"/>
      <c r="AA6" s="30"/>
      <c r="AB6" s="30"/>
      <c r="AC6" s="30"/>
      <c r="AD6" s="30"/>
      <c r="AE6" s="30"/>
    </row>
    <row r="7" spans="1:31" x14ac:dyDescent="0.25">
      <c r="A7" s="30"/>
      <c r="B7" s="238"/>
      <c r="C7" s="236" t="s">
        <v>172</v>
      </c>
      <c r="D7" s="30"/>
      <c r="E7" s="275"/>
      <c r="F7" s="276"/>
      <c r="G7" s="276"/>
      <c r="H7" s="276"/>
      <c r="I7" s="276"/>
      <c r="J7" s="276"/>
      <c r="K7" s="276"/>
      <c r="L7" s="276"/>
      <c r="M7" s="276"/>
      <c r="N7" s="276"/>
      <c r="O7" s="276"/>
      <c r="P7" s="277"/>
      <c r="Q7" s="30"/>
      <c r="R7" s="30"/>
      <c r="S7" s="30"/>
      <c r="T7" s="30"/>
      <c r="U7" s="30"/>
      <c r="V7" s="30"/>
      <c r="W7" s="30"/>
      <c r="X7" s="30"/>
      <c r="Y7" s="30"/>
      <c r="Z7" s="30"/>
      <c r="AA7" s="30"/>
      <c r="AB7" s="30"/>
      <c r="AC7" s="30"/>
      <c r="AD7" s="30"/>
      <c r="AE7" s="30"/>
    </row>
    <row r="8" spans="1:31" ht="15.75" thickBot="1" x14ac:dyDescent="0.3">
      <c r="A8" s="30"/>
      <c r="B8" s="239"/>
      <c r="C8" s="237"/>
      <c r="D8" s="30"/>
      <c r="E8" s="269" t="s">
        <v>152</v>
      </c>
      <c r="F8" s="270"/>
      <c r="G8" s="270"/>
      <c r="H8" s="270"/>
      <c r="I8" s="270"/>
      <c r="J8" s="270"/>
      <c r="K8" s="270"/>
      <c r="L8" s="270"/>
      <c r="M8" s="270"/>
      <c r="N8" s="270"/>
      <c r="O8" s="270"/>
      <c r="P8" s="271"/>
      <c r="Q8" s="30"/>
      <c r="R8" s="30"/>
      <c r="S8" s="30"/>
      <c r="T8" s="30"/>
      <c r="U8" s="30"/>
      <c r="V8" s="30"/>
      <c r="W8" s="30"/>
      <c r="X8" s="30"/>
      <c r="Y8" s="30"/>
      <c r="Z8" s="30"/>
      <c r="AA8" s="30"/>
      <c r="AB8" s="30"/>
      <c r="AC8" s="30"/>
      <c r="AD8" s="30"/>
      <c r="AE8" s="30"/>
    </row>
    <row r="9" spans="1:31" x14ac:dyDescent="0.25">
      <c r="A9" s="30"/>
      <c r="B9" s="284" t="s">
        <v>444</v>
      </c>
      <c r="C9" s="284"/>
      <c r="D9" s="30"/>
      <c r="E9" s="272"/>
      <c r="F9" s="273"/>
      <c r="G9" s="273"/>
      <c r="H9" s="273"/>
      <c r="I9" s="273"/>
      <c r="J9" s="273"/>
      <c r="K9" s="273"/>
      <c r="L9" s="273"/>
      <c r="M9" s="273"/>
      <c r="N9" s="273"/>
      <c r="O9" s="273"/>
      <c r="P9" s="274"/>
      <c r="Q9" s="30"/>
      <c r="R9" s="30"/>
      <c r="S9" s="30"/>
      <c r="T9" s="30"/>
      <c r="U9" s="30"/>
      <c r="V9" s="30"/>
      <c r="W9" s="30"/>
      <c r="X9" s="30"/>
      <c r="Y9" s="30"/>
      <c r="Z9" s="30"/>
      <c r="AA9" s="30"/>
      <c r="AB9" s="30"/>
      <c r="AC9" s="30"/>
      <c r="AD9" s="30"/>
      <c r="AE9" s="30"/>
    </row>
    <row r="10" spans="1:31" ht="15" customHeight="1" thickBot="1" x14ac:dyDescent="0.3">
      <c r="A10" s="30"/>
      <c r="B10" s="285"/>
      <c r="C10" s="285"/>
      <c r="D10" s="30"/>
      <c r="E10" s="272"/>
      <c r="F10" s="273"/>
      <c r="G10" s="273"/>
      <c r="H10" s="273"/>
      <c r="I10" s="273"/>
      <c r="J10" s="273"/>
      <c r="K10" s="273"/>
      <c r="L10" s="273"/>
      <c r="M10" s="273"/>
      <c r="N10" s="273"/>
      <c r="O10" s="273"/>
      <c r="P10" s="274"/>
      <c r="Q10" s="30"/>
      <c r="R10" s="30"/>
      <c r="S10" s="30"/>
      <c r="T10" s="30"/>
      <c r="U10" s="30"/>
      <c r="V10" s="30"/>
      <c r="W10" s="30"/>
      <c r="X10" s="30"/>
      <c r="Y10" s="30"/>
      <c r="Z10" s="30"/>
      <c r="AA10" s="30"/>
      <c r="AB10" s="30"/>
      <c r="AC10" s="30"/>
      <c r="AD10" s="30"/>
      <c r="AE10" s="30"/>
    </row>
    <row r="11" spans="1:31" ht="15.75" thickBot="1" x14ac:dyDescent="0.3">
      <c r="A11" s="30"/>
      <c r="B11" s="240" t="s">
        <v>145</v>
      </c>
      <c r="C11" s="192"/>
      <c r="D11" s="30"/>
      <c r="E11" s="272"/>
      <c r="F11" s="273"/>
      <c r="G11" s="273"/>
      <c r="H11" s="273"/>
      <c r="I11" s="273"/>
      <c r="J11" s="273"/>
      <c r="K11" s="273"/>
      <c r="L11" s="273"/>
      <c r="M11" s="273"/>
      <c r="N11" s="273"/>
      <c r="O11" s="273"/>
      <c r="P11" s="274"/>
      <c r="Q11" s="30"/>
      <c r="R11" s="30"/>
      <c r="S11" s="30"/>
      <c r="T11" s="30"/>
      <c r="U11" s="30"/>
      <c r="V11" s="30"/>
      <c r="W11" s="30"/>
      <c r="X11" s="30"/>
      <c r="Y11" s="30"/>
      <c r="Z11" s="30"/>
      <c r="AA11" s="30"/>
      <c r="AB11" s="30"/>
      <c r="AC11" s="30"/>
      <c r="AD11" s="30"/>
      <c r="AE11" s="30"/>
    </row>
    <row r="12" spans="1:31" x14ac:dyDescent="0.25">
      <c r="A12" s="30"/>
      <c r="B12" s="39" t="s">
        <v>51</v>
      </c>
      <c r="C12" s="165" t="s">
        <v>46</v>
      </c>
      <c r="D12" s="32"/>
      <c r="E12" s="272"/>
      <c r="F12" s="273"/>
      <c r="G12" s="273"/>
      <c r="H12" s="273"/>
      <c r="I12" s="273"/>
      <c r="J12" s="273"/>
      <c r="K12" s="273"/>
      <c r="L12" s="273"/>
      <c r="M12" s="273"/>
      <c r="N12" s="273"/>
      <c r="O12" s="273"/>
      <c r="P12" s="274"/>
      <c r="Q12" s="30"/>
      <c r="R12" s="30"/>
      <c r="S12" s="30"/>
      <c r="T12" s="30"/>
      <c r="U12" s="30"/>
      <c r="V12" s="30"/>
      <c r="W12" s="30"/>
      <c r="X12" s="30"/>
      <c r="Y12" s="30"/>
      <c r="Z12" s="30"/>
      <c r="AA12" s="30"/>
      <c r="AB12" s="30"/>
      <c r="AC12" s="30"/>
      <c r="AD12" s="30"/>
      <c r="AE12" s="30"/>
    </row>
    <row r="13" spans="1:31" ht="15" customHeight="1" x14ac:dyDescent="0.25">
      <c r="A13" s="30"/>
      <c r="B13" s="43" t="s">
        <v>26</v>
      </c>
      <c r="C13" s="165" t="s">
        <v>46</v>
      </c>
      <c r="D13" s="30"/>
      <c r="E13" s="275"/>
      <c r="F13" s="276"/>
      <c r="G13" s="276"/>
      <c r="H13" s="276"/>
      <c r="I13" s="276"/>
      <c r="J13" s="276"/>
      <c r="K13" s="276"/>
      <c r="L13" s="276"/>
      <c r="M13" s="276"/>
      <c r="N13" s="276"/>
      <c r="O13" s="276"/>
      <c r="P13" s="277"/>
      <c r="Q13" s="30"/>
      <c r="R13" s="30"/>
      <c r="S13" s="30"/>
      <c r="T13" s="30"/>
      <c r="U13" s="30"/>
      <c r="V13" s="30"/>
      <c r="W13" s="30"/>
      <c r="X13" s="30"/>
      <c r="Y13" s="30"/>
      <c r="Z13" s="30"/>
      <c r="AA13" s="30"/>
      <c r="AB13" s="30"/>
      <c r="AC13" s="30"/>
      <c r="AD13" s="30"/>
      <c r="AE13" s="30"/>
    </row>
    <row r="14" spans="1:31" ht="14.45" customHeight="1" x14ac:dyDescent="0.25">
      <c r="A14" s="30"/>
      <c r="B14" s="216" t="s">
        <v>344</v>
      </c>
      <c r="C14" s="166" t="s">
        <v>46</v>
      </c>
      <c r="D14" s="30"/>
      <c r="E14" s="269" t="s">
        <v>149</v>
      </c>
      <c r="F14" s="270"/>
      <c r="G14" s="270"/>
      <c r="H14" s="270"/>
      <c r="I14" s="270"/>
      <c r="J14" s="270"/>
      <c r="K14" s="270"/>
      <c r="L14" s="270"/>
      <c r="M14" s="270"/>
      <c r="N14" s="270"/>
      <c r="O14" s="270"/>
      <c r="P14" s="271"/>
      <c r="Q14" s="30"/>
      <c r="R14" s="30"/>
      <c r="S14" s="30"/>
      <c r="T14" s="30"/>
      <c r="U14" s="30"/>
      <c r="V14" s="30"/>
      <c r="W14" s="30"/>
      <c r="X14" s="30"/>
      <c r="Y14" s="30"/>
      <c r="Z14" s="30"/>
      <c r="AA14" s="30"/>
      <c r="AB14" s="30"/>
      <c r="AC14" s="30"/>
      <c r="AD14" s="30"/>
      <c r="AE14" s="30"/>
    </row>
    <row r="15" spans="1:31" ht="15.6" customHeight="1" x14ac:dyDescent="0.25">
      <c r="A15" s="30"/>
      <c r="B15" s="216"/>
      <c r="C15" s="258" t="str">
        <f>IF(C14="Meets Requirements","",IF(C14="Uncertain","STOP here - carefully verify eligibility before continuing","STOP here - this tool does not calculate savings for ineligible projects"))</f>
        <v>STOP here - this tool does not calculate savings for ineligible projects</v>
      </c>
      <c r="D15" s="30"/>
      <c r="E15" s="275"/>
      <c r="F15" s="276"/>
      <c r="G15" s="276"/>
      <c r="H15" s="276"/>
      <c r="I15" s="276"/>
      <c r="J15" s="276"/>
      <c r="K15" s="276"/>
      <c r="L15" s="276"/>
      <c r="M15" s="276"/>
      <c r="N15" s="276"/>
      <c r="O15" s="276"/>
      <c r="P15" s="277"/>
      <c r="Q15" s="30"/>
      <c r="R15" s="30"/>
      <c r="S15" s="30"/>
      <c r="T15" s="30"/>
      <c r="U15" s="30"/>
      <c r="V15" s="30"/>
      <c r="W15" s="30"/>
      <c r="X15" s="30"/>
      <c r="Y15" s="30"/>
      <c r="Z15" s="30"/>
      <c r="AA15" s="30"/>
      <c r="AB15" s="30"/>
      <c r="AC15" s="30"/>
      <c r="AD15" s="30"/>
      <c r="AE15" s="30"/>
    </row>
    <row r="16" spans="1:31" ht="15.75" thickBot="1" x14ac:dyDescent="0.3">
      <c r="A16" s="30"/>
      <c r="B16" s="216"/>
      <c r="C16" s="259"/>
      <c r="D16" s="30"/>
      <c r="E16" s="241" t="s">
        <v>150</v>
      </c>
      <c r="F16" s="242"/>
      <c r="G16" s="242"/>
      <c r="H16" s="242"/>
      <c r="I16" s="242"/>
      <c r="J16" s="242"/>
      <c r="K16" s="242"/>
      <c r="L16" s="242"/>
      <c r="M16" s="242"/>
      <c r="N16" s="242"/>
      <c r="O16" s="242"/>
      <c r="P16" s="243"/>
      <c r="Q16" s="30"/>
      <c r="R16" s="30"/>
      <c r="S16" s="30"/>
      <c r="T16" s="30"/>
      <c r="U16" s="30"/>
      <c r="V16" s="30"/>
      <c r="W16" s="30"/>
      <c r="X16" s="30"/>
      <c r="Y16" s="30"/>
      <c r="Z16" s="30"/>
      <c r="AA16" s="30"/>
      <c r="AB16" s="30"/>
      <c r="AC16" s="30"/>
      <c r="AD16" s="30"/>
      <c r="AE16" s="30"/>
    </row>
    <row r="17" spans="1:31" ht="15" customHeight="1" thickBot="1" x14ac:dyDescent="0.3">
      <c r="A17" s="30"/>
      <c r="B17" s="216"/>
      <c r="C17" s="260"/>
      <c r="D17" s="30"/>
      <c r="E17" s="30"/>
      <c r="F17" s="244" t="s">
        <v>146</v>
      </c>
      <c r="G17" s="245"/>
      <c r="H17" s="245"/>
      <c r="I17" s="245"/>
      <c r="J17" s="245"/>
      <c r="K17" s="245"/>
      <c r="L17" s="245"/>
      <c r="M17" s="245"/>
      <c r="N17" s="245"/>
      <c r="O17" s="246"/>
      <c r="P17" s="30"/>
      <c r="Q17" s="30"/>
      <c r="R17" s="30"/>
      <c r="S17" s="30"/>
      <c r="T17" s="30"/>
      <c r="U17" s="30"/>
      <c r="V17" s="30"/>
      <c r="W17" s="30"/>
      <c r="X17" s="30"/>
      <c r="Y17" s="30"/>
      <c r="Z17" s="30"/>
      <c r="AA17" s="30"/>
      <c r="AB17" s="30"/>
      <c r="AC17" s="30"/>
      <c r="AD17" s="30"/>
      <c r="AE17" s="30"/>
    </row>
    <row r="18" spans="1:31" x14ac:dyDescent="0.25">
      <c r="A18" s="30"/>
      <c r="B18" s="27" t="s">
        <v>58</v>
      </c>
      <c r="C18" s="167" t="s">
        <v>46</v>
      </c>
      <c r="D18" s="30"/>
      <c r="E18" s="30"/>
      <c r="F18" s="247" t="str">
        <f>VLOOKUP(C13,lookups!D6:H9,2,FALSE)</f>
        <v>Select Program Type from the pulldown menu to the left</v>
      </c>
      <c r="G18" s="248"/>
      <c r="H18" s="248"/>
      <c r="I18" s="248"/>
      <c r="J18" s="248"/>
      <c r="K18" s="248"/>
      <c r="L18" s="248"/>
      <c r="M18" s="248"/>
      <c r="N18" s="248"/>
      <c r="O18" s="249"/>
      <c r="P18" s="30"/>
      <c r="Q18" s="30"/>
      <c r="R18" s="30"/>
      <c r="S18" s="30"/>
      <c r="T18" s="30"/>
      <c r="U18" s="30"/>
      <c r="V18" s="30"/>
      <c r="W18" s="30"/>
      <c r="X18" s="30"/>
      <c r="Y18" s="30"/>
      <c r="Z18" s="30"/>
      <c r="AA18" s="30"/>
      <c r="AB18" s="30"/>
      <c r="AC18" s="30"/>
      <c r="AD18" s="30"/>
      <c r="AE18" s="30"/>
    </row>
    <row r="19" spans="1:31" x14ac:dyDescent="0.25">
      <c r="A19" s="30"/>
      <c r="B19" s="286" t="s">
        <v>62</v>
      </c>
      <c r="C19" s="287"/>
      <c r="D19" s="30"/>
      <c r="E19" s="30"/>
      <c r="F19" s="247"/>
      <c r="G19" s="248"/>
      <c r="H19" s="248"/>
      <c r="I19" s="248"/>
      <c r="J19" s="248"/>
      <c r="K19" s="248"/>
      <c r="L19" s="248"/>
      <c r="M19" s="248"/>
      <c r="N19" s="248"/>
      <c r="O19" s="249"/>
      <c r="P19" s="30"/>
      <c r="Q19" s="30"/>
      <c r="R19" s="30"/>
      <c r="S19" s="30"/>
      <c r="T19" s="30"/>
      <c r="U19" s="30"/>
      <c r="V19" s="30"/>
      <c r="W19" s="30"/>
      <c r="X19" s="30"/>
      <c r="Y19" s="30"/>
      <c r="Z19" s="30"/>
      <c r="AA19" s="30"/>
      <c r="AB19" s="30"/>
      <c r="AC19" s="30"/>
      <c r="AD19" s="30"/>
      <c r="AE19" s="30"/>
    </row>
    <row r="20" spans="1:31" ht="15.75" thickBot="1" x14ac:dyDescent="0.3">
      <c r="A20" s="30"/>
      <c r="B20" s="256" t="str">
        <f>lookups!B29</f>
        <v>Inputs Incomplete</v>
      </c>
      <c r="C20" s="257"/>
      <c r="D20" s="30"/>
      <c r="E20" s="30"/>
      <c r="F20" s="250"/>
      <c r="G20" s="251"/>
      <c r="H20" s="251"/>
      <c r="I20" s="251"/>
      <c r="J20" s="251"/>
      <c r="K20" s="251"/>
      <c r="L20" s="251"/>
      <c r="M20" s="251"/>
      <c r="N20" s="251"/>
      <c r="O20" s="252"/>
      <c r="P20" s="30"/>
      <c r="Q20" s="30"/>
      <c r="R20" s="30"/>
      <c r="S20" s="30"/>
      <c r="T20" s="30"/>
      <c r="U20" s="30"/>
      <c r="V20" s="30"/>
      <c r="W20" s="30"/>
      <c r="X20" s="30"/>
      <c r="Y20" s="30"/>
      <c r="Z20" s="30"/>
      <c r="AA20" s="30"/>
      <c r="AB20" s="30"/>
      <c r="AC20" s="30"/>
      <c r="AD20" s="30"/>
      <c r="AE20" s="30"/>
    </row>
    <row r="21" spans="1:31" ht="15.75" thickBot="1" x14ac:dyDescent="0.3">
      <c r="A21" s="30"/>
      <c r="B21" s="30"/>
      <c r="C21" s="30"/>
      <c r="D21" s="30"/>
      <c r="E21" s="30"/>
      <c r="F21" s="253" t="str">
        <f>VLOOKUP(C13,lookups!D6:H9,3,FALSE)</f>
        <v>Select Program Type from the pulldown menu to the left</v>
      </c>
      <c r="G21" s="254"/>
      <c r="H21" s="254"/>
      <c r="I21" s="254"/>
      <c r="J21" s="254"/>
      <c r="K21" s="254"/>
      <c r="L21" s="254"/>
      <c r="M21" s="254"/>
      <c r="N21" s="254"/>
      <c r="O21" s="255"/>
      <c r="P21" s="30"/>
      <c r="Q21" s="30"/>
      <c r="R21" s="30"/>
      <c r="S21" s="30"/>
      <c r="T21" s="30"/>
      <c r="U21" s="30"/>
      <c r="V21" s="30"/>
      <c r="W21" s="30"/>
      <c r="X21" s="30"/>
      <c r="Y21" s="30"/>
      <c r="Z21" s="30"/>
      <c r="AA21" s="30"/>
      <c r="AB21" s="30"/>
      <c r="AC21" s="30"/>
      <c r="AD21" s="30"/>
      <c r="AE21" s="30"/>
    </row>
    <row r="22" spans="1:31" ht="15.75" thickBot="1" x14ac:dyDescent="0.3">
      <c r="A22" s="30"/>
      <c r="B22" s="240" t="s">
        <v>144</v>
      </c>
      <c r="C22" s="288"/>
      <c r="D22" s="30"/>
      <c r="E22" s="30"/>
      <c r="F22" s="247"/>
      <c r="G22" s="248"/>
      <c r="H22" s="248"/>
      <c r="I22" s="248"/>
      <c r="J22" s="248"/>
      <c r="K22" s="248"/>
      <c r="L22" s="248"/>
      <c r="M22" s="248"/>
      <c r="N22" s="248"/>
      <c r="O22" s="249"/>
      <c r="P22" s="30"/>
      <c r="Q22" s="30"/>
      <c r="R22" s="30"/>
      <c r="S22" s="30"/>
      <c r="T22" s="30"/>
      <c r="U22" s="30"/>
      <c r="V22" s="30"/>
      <c r="W22" s="30"/>
      <c r="X22" s="30"/>
      <c r="Y22" s="30"/>
      <c r="Z22" s="30"/>
      <c r="AA22" s="30"/>
      <c r="AB22" s="30"/>
      <c r="AC22" s="30"/>
      <c r="AD22" s="30"/>
      <c r="AE22" s="30"/>
    </row>
    <row r="23" spans="1:31" ht="14.45" customHeight="1" x14ac:dyDescent="0.25">
      <c r="A23" s="30"/>
      <c r="B23" s="28" t="s">
        <v>2</v>
      </c>
      <c r="C23" s="168" t="s">
        <v>46</v>
      </c>
      <c r="D23" s="31"/>
      <c r="E23" s="30"/>
      <c r="F23" s="247"/>
      <c r="G23" s="248"/>
      <c r="H23" s="248"/>
      <c r="I23" s="248"/>
      <c r="J23" s="248"/>
      <c r="K23" s="248"/>
      <c r="L23" s="248"/>
      <c r="M23" s="248"/>
      <c r="N23" s="248"/>
      <c r="O23" s="249"/>
      <c r="P23" s="30"/>
      <c r="Q23" s="30"/>
      <c r="R23" s="30"/>
      <c r="S23" s="30"/>
      <c r="T23" s="30"/>
      <c r="U23" s="30"/>
      <c r="V23" s="30"/>
      <c r="W23" s="30"/>
      <c r="X23" s="30"/>
      <c r="Y23" s="30"/>
      <c r="Z23" s="30"/>
      <c r="AA23" s="30"/>
      <c r="AB23" s="30"/>
      <c r="AC23" s="30"/>
      <c r="AD23" s="30"/>
      <c r="AE23" s="30"/>
    </row>
    <row r="24" spans="1:31" ht="15.75" thickBot="1" x14ac:dyDescent="0.3">
      <c r="A24" s="30"/>
      <c r="B24" s="38" t="s">
        <v>1</v>
      </c>
      <c r="C24" s="169" t="s">
        <v>432</v>
      </c>
      <c r="D24" s="31"/>
      <c r="E24" s="30"/>
      <c r="F24" s="250"/>
      <c r="G24" s="251"/>
      <c r="H24" s="251"/>
      <c r="I24" s="251"/>
      <c r="J24" s="251"/>
      <c r="K24" s="251"/>
      <c r="L24" s="251"/>
      <c r="M24" s="251"/>
      <c r="N24" s="251"/>
      <c r="O24" s="252"/>
      <c r="P24" s="30"/>
      <c r="Q24" s="30"/>
      <c r="R24" s="30"/>
      <c r="S24" s="30"/>
      <c r="T24" s="30"/>
      <c r="U24" s="30"/>
      <c r="V24" s="30"/>
      <c r="W24" s="30"/>
      <c r="X24" s="30"/>
      <c r="Y24" s="30"/>
      <c r="Z24" s="30"/>
      <c r="AA24" s="30"/>
      <c r="AB24" s="30"/>
      <c r="AC24" s="30"/>
      <c r="AD24" s="30"/>
      <c r="AE24" s="30"/>
    </row>
    <row r="25" spans="1:31" ht="15.75" thickBot="1" x14ac:dyDescent="0.3">
      <c r="A25" s="30"/>
      <c r="B25" s="30"/>
      <c r="C25" s="30"/>
      <c r="D25" s="30"/>
      <c r="F25" s="253" t="str">
        <f>VLOOKUP(C13,lookups!D6:H9,4,FALSE)</f>
        <v>Select Program Type from the pulldown menu to the left</v>
      </c>
      <c r="G25" s="254"/>
      <c r="H25" s="254"/>
      <c r="I25" s="254"/>
      <c r="J25" s="254"/>
      <c r="K25" s="254"/>
      <c r="L25" s="254"/>
      <c r="M25" s="254"/>
      <c r="N25" s="254"/>
      <c r="O25" s="255"/>
      <c r="P25" s="30"/>
      <c r="Q25" s="30"/>
      <c r="R25" s="30"/>
      <c r="S25" s="30"/>
      <c r="T25" s="30"/>
      <c r="U25" s="30"/>
      <c r="V25" s="30"/>
      <c r="W25" s="30"/>
      <c r="X25" s="30"/>
      <c r="Y25" s="30"/>
      <c r="Z25" s="30"/>
      <c r="AA25" s="30"/>
      <c r="AB25" s="30"/>
      <c r="AC25" s="30"/>
      <c r="AD25" s="30"/>
      <c r="AE25" s="30"/>
    </row>
    <row r="26" spans="1:31" x14ac:dyDescent="0.25">
      <c r="A26" s="30"/>
      <c r="B26" s="261" t="s">
        <v>313</v>
      </c>
      <c r="C26" s="262"/>
      <c r="D26" s="263"/>
      <c r="E26" s="30"/>
      <c r="F26" s="247"/>
      <c r="G26" s="248"/>
      <c r="H26" s="248"/>
      <c r="I26" s="248"/>
      <c r="J26" s="248"/>
      <c r="K26" s="248"/>
      <c r="L26" s="248"/>
      <c r="M26" s="248"/>
      <c r="N26" s="248"/>
      <c r="O26" s="249"/>
      <c r="P26" s="30"/>
      <c r="Q26" s="30"/>
      <c r="R26" s="30"/>
      <c r="S26" s="30"/>
      <c r="T26" s="30"/>
      <c r="U26" s="30"/>
      <c r="V26" s="30"/>
      <c r="W26" s="30"/>
      <c r="X26" s="30"/>
      <c r="Y26" s="30"/>
      <c r="Z26" s="30"/>
      <c r="AA26" s="30"/>
      <c r="AB26" s="30"/>
      <c r="AC26" s="30"/>
      <c r="AD26" s="30"/>
      <c r="AE26" s="30"/>
    </row>
    <row r="27" spans="1:31" x14ac:dyDescent="0.25">
      <c r="A27" s="30"/>
      <c r="B27" s="79" t="s">
        <v>236</v>
      </c>
      <c r="C27" s="77" t="s">
        <v>238</v>
      </c>
      <c r="D27" s="96" t="str">
        <f>'electric calculations'!C6</f>
        <v>EERExist</v>
      </c>
      <c r="E27" s="30"/>
      <c r="F27" s="247"/>
      <c r="G27" s="248"/>
      <c r="H27" s="248"/>
      <c r="I27" s="248"/>
      <c r="J27" s="248"/>
      <c r="K27" s="248"/>
      <c r="L27" s="248"/>
      <c r="M27" s="248"/>
      <c r="N27" s="248"/>
      <c r="O27" s="249"/>
      <c r="P27" s="30"/>
      <c r="Q27" s="30"/>
      <c r="R27" s="30"/>
      <c r="S27" s="30"/>
      <c r="T27" s="30"/>
      <c r="U27" s="30"/>
      <c r="V27" s="30"/>
      <c r="W27" s="30"/>
      <c r="X27" s="30"/>
      <c r="Y27" s="30"/>
      <c r="Z27" s="30"/>
      <c r="AA27" s="30"/>
      <c r="AB27" s="30"/>
      <c r="AC27" s="30"/>
      <c r="AD27" s="30"/>
      <c r="AE27" s="30"/>
    </row>
    <row r="28" spans="1:31" x14ac:dyDescent="0.25">
      <c r="A28" s="30"/>
      <c r="B28" s="170" t="s">
        <v>237</v>
      </c>
      <c r="C28" s="171" t="s">
        <v>239</v>
      </c>
      <c r="D28" s="172">
        <v>0</v>
      </c>
      <c r="E28" s="30"/>
      <c r="F28" s="247"/>
      <c r="G28" s="248"/>
      <c r="H28" s="248"/>
      <c r="I28" s="248"/>
      <c r="J28" s="248"/>
      <c r="K28" s="248"/>
      <c r="L28" s="248"/>
      <c r="M28" s="248"/>
      <c r="N28" s="248"/>
      <c r="O28" s="249"/>
      <c r="P28" s="30"/>
      <c r="Q28" s="30"/>
      <c r="R28" s="30"/>
      <c r="S28" s="30"/>
      <c r="T28" s="30"/>
      <c r="U28" s="30"/>
      <c r="V28" s="30"/>
      <c r="W28" s="30"/>
      <c r="X28" s="30"/>
      <c r="Y28" s="30"/>
      <c r="Z28" s="30"/>
      <c r="AA28" s="30"/>
      <c r="AB28" s="30"/>
      <c r="AC28" s="30"/>
      <c r="AD28" s="30"/>
      <c r="AE28" s="30"/>
    </row>
    <row r="29" spans="1:31" ht="14.45" customHeight="1" x14ac:dyDescent="0.25">
      <c r="A29" s="30"/>
      <c r="B29" s="225" t="str">
        <f>'electric calculations'!G6</f>
        <v>Energy Efficiency Ratio (EER) of existing cooling unit. In (kBtu/hr/kW). Use actual EER rating where it is possible to measure or reasonably estimate. If it is not possible to estimate existing unit efficiency, change project to Time-of-Sale. If EER unknown but SEER is available, convert using the tool to the right*</v>
      </c>
      <c r="C29" s="226"/>
      <c r="D29" s="227"/>
      <c r="E29" s="97"/>
      <c r="F29" s="247"/>
      <c r="G29" s="248"/>
      <c r="H29" s="248"/>
      <c r="I29" s="248"/>
      <c r="J29" s="248"/>
      <c r="K29" s="248"/>
      <c r="L29" s="248"/>
      <c r="M29" s="248"/>
      <c r="N29" s="248"/>
      <c r="O29" s="249"/>
      <c r="P29" s="30"/>
      <c r="Q29" s="30"/>
      <c r="R29" s="30"/>
      <c r="S29" s="30"/>
      <c r="T29" s="30"/>
      <c r="U29" s="30"/>
      <c r="V29" s="30"/>
      <c r="W29" s="30"/>
      <c r="X29" s="30"/>
      <c r="Y29" s="30"/>
      <c r="Z29" s="30"/>
      <c r="AA29" s="30"/>
      <c r="AB29" s="30"/>
      <c r="AC29" s="30"/>
      <c r="AD29" s="30"/>
      <c r="AE29" s="30"/>
    </row>
    <row r="30" spans="1:31" ht="14.45" customHeight="1" thickBot="1" x14ac:dyDescent="0.3">
      <c r="A30" s="30"/>
      <c r="B30" s="228"/>
      <c r="C30" s="229"/>
      <c r="D30" s="230"/>
      <c r="E30" s="97"/>
      <c r="F30" s="241" t="str">
        <f>VLOOKUP(C13,lookups!D6:H9,5,FALSE)</f>
        <v>Select Program Type from the pulldown menu to the left</v>
      </c>
      <c r="G30" s="242"/>
      <c r="H30" s="242"/>
      <c r="I30" s="242"/>
      <c r="J30" s="242"/>
      <c r="K30" s="242"/>
      <c r="L30" s="242"/>
      <c r="M30" s="242"/>
      <c r="N30" s="242"/>
      <c r="O30" s="243"/>
      <c r="P30" s="30"/>
      <c r="Q30" s="30"/>
      <c r="R30" s="30"/>
      <c r="S30" s="30"/>
      <c r="T30" s="30"/>
      <c r="U30" s="30"/>
      <c r="V30" s="30"/>
      <c r="W30" s="30"/>
      <c r="X30" s="30"/>
      <c r="Y30" s="30"/>
      <c r="Z30" s="30"/>
      <c r="AA30" s="30"/>
      <c r="AB30" s="30"/>
      <c r="AC30" s="30"/>
      <c r="AD30" s="30"/>
      <c r="AE30" s="30"/>
    </row>
    <row r="31" spans="1:31" ht="14.45" customHeight="1" thickBot="1" x14ac:dyDescent="0.3">
      <c r="A31" s="30"/>
      <c r="B31" s="228"/>
      <c r="C31" s="229"/>
      <c r="D31" s="230"/>
      <c r="E31" s="97"/>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row>
    <row r="32" spans="1:31" ht="14.45" customHeight="1" thickBot="1" x14ac:dyDescent="0.3">
      <c r="A32" s="30"/>
      <c r="B32" s="228"/>
      <c r="C32" s="229"/>
      <c r="D32" s="230"/>
      <c r="E32" s="97"/>
      <c r="F32" s="204" t="s">
        <v>318</v>
      </c>
      <c r="G32" s="205"/>
      <c r="H32" s="205"/>
      <c r="I32" s="206"/>
      <c r="J32" s="109"/>
      <c r="K32" s="109"/>
      <c r="L32" s="109"/>
      <c r="M32" s="109"/>
      <c r="N32" s="109"/>
      <c r="O32" s="95"/>
      <c r="P32" s="30"/>
      <c r="Q32" s="30"/>
      <c r="R32" s="30"/>
      <c r="S32" s="30"/>
      <c r="T32" s="30"/>
      <c r="U32" s="30"/>
      <c r="V32" s="30"/>
      <c r="W32" s="30"/>
      <c r="X32" s="30"/>
      <c r="Y32" s="30"/>
      <c r="Z32" s="30"/>
      <c r="AA32" s="30"/>
      <c r="AB32" s="30"/>
      <c r="AC32" s="30"/>
      <c r="AD32" s="30"/>
      <c r="AE32" s="30"/>
    </row>
    <row r="33" spans="1:31" ht="14.45" customHeight="1" thickBot="1" x14ac:dyDescent="0.3">
      <c r="A33" s="30"/>
      <c r="B33" s="231"/>
      <c r="C33" s="232"/>
      <c r="D33" s="233"/>
      <c r="E33" s="97"/>
      <c r="F33" s="136" t="s">
        <v>308</v>
      </c>
      <c r="G33" s="177">
        <v>0</v>
      </c>
      <c r="H33" s="106">
        <f>(-0.02*G33^2)+(1.12*G33)</f>
        <v>0</v>
      </c>
      <c r="I33" s="137" t="s">
        <v>307</v>
      </c>
      <c r="J33" s="109"/>
      <c r="K33" s="109"/>
      <c r="L33" s="109"/>
      <c r="M33" s="109"/>
      <c r="N33" s="109"/>
      <c r="O33" s="95"/>
      <c r="P33" s="30"/>
      <c r="Q33" s="30"/>
      <c r="R33" s="30"/>
      <c r="S33" s="30"/>
      <c r="T33" s="30"/>
      <c r="U33" s="30"/>
      <c r="V33" s="30"/>
      <c r="W33" s="30"/>
      <c r="X33" s="30"/>
      <c r="Y33" s="30"/>
      <c r="Z33" s="30"/>
      <c r="AA33" s="30"/>
      <c r="AB33" s="30"/>
      <c r="AC33" s="30"/>
      <c r="AD33" s="30"/>
      <c r="AE33" s="30"/>
    </row>
    <row r="34" spans="1:31" ht="14.45" customHeight="1" thickBot="1" x14ac:dyDescent="0.3">
      <c r="A34" s="30"/>
      <c r="B34" s="117"/>
      <c r="C34" s="117"/>
      <c r="D34" s="117"/>
      <c r="E34" s="97"/>
      <c r="F34" s="109"/>
      <c r="G34" s="109"/>
      <c r="H34" s="109"/>
      <c r="I34" s="31"/>
      <c r="J34" s="109"/>
      <c r="K34" s="109"/>
      <c r="L34" s="109"/>
      <c r="M34" s="109"/>
      <c r="N34" s="109"/>
      <c r="O34" s="95"/>
      <c r="P34" s="30"/>
      <c r="Q34" s="30"/>
      <c r="R34" s="30"/>
      <c r="S34" s="30"/>
      <c r="T34" s="30"/>
      <c r="U34" s="30"/>
      <c r="V34" s="30"/>
      <c r="W34" s="30"/>
      <c r="X34" s="30"/>
      <c r="Y34" s="30"/>
      <c r="Z34" s="30"/>
      <c r="AA34" s="30"/>
      <c r="AB34" s="30"/>
      <c r="AC34" s="30"/>
      <c r="AD34" s="30"/>
      <c r="AE34" s="30"/>
    </row>
    <row r="35" spans="1:31" x14ac:dyDescent="0.25">
      <c r="A35" s="30"/>
      <c r="B35" s="213" t="s">
        <v>412</v>
      </c>
      <c r="C35" s="214"/>
      <c r="D35" s="214"/>
      <c r="E35" s="215"/>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row>
    <row r="36" spans="1:31" ht="15" customHeight="1" x14ac:dyDescent="0.25">
      <c r="A36" s="30"/>
      <c r="B36" s="79" t="s">
        <v>236</v>
      </c>
      <c r="C36" s="224" t="s">
        <v>238</v>
      </c>
      <c r="D36" s="224"/>
      <c r="E36" s="96" t="str">
        <f>IF(C18="Electric",'electric calculations'!C12,IF(C18="Gas",'gas calculations'!C22,"Incomplete"))</f>
        <v>Incomplete</v>
      </c>
      <c r="F36" s="30"/>
      <c r="G36" s="155"/>
      <c r="H36" s="135"/>
      <c r="I36" s="135"/>
      <c r="J36" s="135"/>
      <c r="K36" s="135"/>
      <c r="L36" s="135"/>
      <c r="M36" s="135"/>
      <c r="N36" s="135"/>
      <c r="O36" s="135"/>
      <c r="P36" s="135"/>
      <c r="Q36" s="135"/>
      <c r="R36" s="135"/>
      <c r="S36" s="30"/>
      <c r="T36" s="30"/>
      <c r="U36" s="30"/>
      <c r="V36" s="30"/>
      <c r="W36" s="30"/>
      <c r="X36" s="30"/>
      <c r="Y36" s="30"/>
      <c r="Z36" s="30"/>
      <c r="AA36" s="30"/>
      <c r="AB36" s="30"/>
      <c r="AC36" s="30"/>
      <c r="AD36" s="30"/>
      <c r="AE36" s="30"/>
    </row>
    <row r="37" spans="1:31" x14ac:dyDescent="0.25">
      <c r="A37" s="30"/>
      <c r="B37" s="173" t="s">
        <v>421</v>
      </c>
      <c r="C37" s="222" t="s">
        <v>239</v>
      </c>
      <c r="D37" s="223"/>
      <c r="E37" s="174">
        <v>0</v>
      </c>
      <c r="F37" s="30"/>
      <c r="G37" s="135"/>
      <c r="H37" s="156"/>
      <c r="I37" s="135"/>
      <c r="J37" s="135"/>
      <c r="K37" s="135"/>
      <c r="L37" s="135"/>
      <c r="M37" s="135"/>
      <c r="N37" s="135"/>
      <c r="O37" s="135"/>
      <c r="P37" s="135"/>
      <c r="Q37" s="135"/>
      <c r="R37" s="135"/>
      <c r="S37" s="30"/>
      <c r="T37" s="30"/>
      <c r="U37" s="30"/>
      <c r="V37" s="30"/>
      <c r="W37" s="30"/>
      <c r="X37" s="30"/>
      <c r="Y37" s="30"/>
      <c r="Z37" s="30"/>
      <c r="AA37" s="30"/>
      <c r="AB37" s="30"/>
      <c r="AC37" s="30"/>
      <c r="AD37" s="30"/>
      <c r="AE37" s="30"/>
    </row>
    <row r="38" spans="1:31" x14ac:dyDescent="0.25">
      <c r="A38" s="30"/>
      <c r="B38" s="175" t="s">
        <v>419</v>
      </c>
      <c r="C38" s="222" t="s">
        <v>420</v>
      </c>
      <c r="D38" s="223"/>
      <c r="E38" s="176">
        <v>0</v>
      </c>
      <c r="F38" s="30"/>
      <c r="G38" s="135"/>
      <c r="H38" s="156"/>
      <c r="I38" s="135"/>
      <c r="J38" s="135"/>
      <c r="K38" s="135"/>
      <c r="L38" s="135"/>
      <c r="M38" s="135"/>
      <c r="N38" s="135"/>
      <c r="O38" s="135"/>
      <c r="P38" s="135"/>
      <c r="Q38" s="135"/>
      <c r="R38" s="135"/>
      <c r="S38" s="30"/>
      <c r="T38" s="30"/>
      <c r="U38" s="30"/>
      <c r="V38" s="30"/>
      <c r="W38" s="30"/>
      <c r="X38" s="30"/>
      <c r="Y38" s="30"/>
      <c r="Z38" s="30"/>
      <c r="AA38" s="30"/>
      <c r="AB38" s="30"/>
      <c r="AC38" s="30"/>
      <c r="AD38" s="30"/>
      <c r="AE38" s="30"/>
    </row>
    <row r="39" spans="1:31" ht="14.45" customHeight="1" x14ac:dyDescent="0.25">
      <c r="A39" s="30"/>
      <c r="B39" s="216" t="str">
        <f>IF(C18="Electric",'electric calculations'!G12,IF(C18="Gas",'gas calculations'!G22,IF(C18="N/A - no existing","Not Needed","Incomplete Inputs")))</f>
        <v>Incomplete Inputs</v>
      </c>
      <c r="C39" s="217"/>
      <c r="D39" s="217"/>
      <c r="E39" s="218"/>
      <c r="F39" s="30"/>
      <c r="G39" s="135"/>
      <c r="H39" s="156"/>
      <c r="I39" s="135"/>
      <c r="J39" s="135"/>
      <c r="K39" s="135"/>
      <c r="L39" s="135"/>
      <c r="M39" s="135"/>
      <c r="N39" s="135"/>
      <c r="O39" s="135"/>
      <c r="P39" s="135"/>
      <c r="Q39" s="135"/>
      <c r="R39" s="135"/>
      <c r="S39" s="30"/>
      <c r="T39" s="30"/>
      <c r="U39" s="30"/>
      <c r="V39" s="30"/>
      <c r="W39" s="30"/>
      <c r="X39" s="30"/>
      <c r="Y39" s="30"/>
      <c r="Z39" s="30"/>
      <c r="AA39" s="30"/>
      <c r="AB39" s="30"/>
      <c r="AC39" s="30"/>
      <c r="AD39" s="30"/>
      <c r="AE39" s="30"/>
    </row>
    <row r="40" spans="1:31" x14ac:dyDescent="0.25">
      <c r="A40" s="30"/>
      <c r="B40" s="216"/>
      <c r="C40" s="217"/>
      <c r="D40" s="217"/>
      <c r="E40" s="218"/>
      <c r="F40" s="30"/>
      <c r="G40" s="135"/>
      <c r="H40" s="156"/>
      <c r="I40" s="135"/>
      <c r="J40" s="135"/>
      <c r="K40" s="135"/>
      <c r="L40" s="135"/>
      <c r="M40" s="135"/>
      <c r="N40" s="135"/>
      <c r="O40" s="135"/>
      <c r="P40" s="135"/>
      <c r="Q40" s="135"/>
      <c r="R40" s="135"/>
      <c r="S40" s="30"/>
      <c r="T40" s="30"/>
      <c r="U40" s="30"/>
      <c r="V40" s="30"/>
      <c r="W40" s="30"/>
      <c r="X40" s="30"/>
      <c r="Y40" s="30"/>
      <c r="Z40" s="30"/>
      <c r="AA40" s="30"/>
      <c r="AB40" s="30"/>
      <c r="AC40" s="30"/>
      <c r="AD40" s="30"/>
      <c r="AE40" s="30"/>
    </row>
    <row r="41" spans="1:31" ht="15.75" thickBot="1" x14ac:dyDescent="0.3">
      <c r="A41" s="30"/>
      <c r="B41" s="219"/>
      <c r="C41" s="220"/>
      <c r="D41" s="220"/>
      <c r="E41" s="221"/>
      <c r="F41" s="30"/>
      <c r="G41" s="30"/>
      <c r="H41" s="156"/>
      <c r="I41" s="30"/>
      <c r="J41" s="30"/>
      <c r="K41" s="30"/>
      <c r="L41" s="30"/>
      <c r="M41" s="30"/>
      <c r="N41" s="30"/>
      <c r="O41" s="30"/>
      <c r="P41" s="30"/>
      <c r="Q41" s="30"/>
      <c r="R41" s="30"/>
      <c r="S41" s="30"/>
      <c r="T41" s="30"/>
      <c r="U41" s="30"/>
      <c r="V41" s="30"/>
      <c r="W41" s="30"/>
      <c r="X41" s="30"/>
      <c r="Y41" s="30"/>
      <c r="Z41" s="30"/>
      <c r="AA41" s="30"/>
      <c r="AB41" s="30"/>
      <c r="AC41" s="30"/>
      <c r="AD41" s="30"/>
      <c r="AE41" s="30"/>
    </row>
    <row r="42" spans="1:31" ht="15.75" thickBot="1" x14ac:dyDescent="0.3">
      <c r="A42" s="30"/>
      <c r="B42" s="30"/>
      <c r="C42" s="33"/>
      <c r="D42" s="33"/>
      <c r="E42" s="30"/>
      <c r="F42" s="30"/>
      <c r="G42" s="30"/>
      <c r="H42" s="30"/>
      <c r="I42" s="30"/>
      <c r="J42" s="30"/>
      <c r="K42" s="30"/>
      <c r="L42" s="30"/>
      <c r="M42" s="30"/>
      <c r="N42" s="30"/>
      <c r="O42" s="30"/>
      <c r="P42" s="30"/>
      <c r="Q42" s="34"/>
      <c r="R42" s="34"/>
      <c r="S42" s="30"/>
      <c r="T42" s="30"/>
      <c r="U42" s="30"/>
      <c r="V42" s="30"/>
      <c r="W42" s="30"/>
      <c r="X42" s="30"/>
      <c r="Y42" s="30"/>
      <c r="Z42" s="30"/>
      <c r="AA42" s="30"/>
      <c r="AB42" s="30"/>
      <c r="AC42" s="30"/>
      <c r="AD42" s="30"/>
      <c r="AE42" s="30"/>
    </row>
    <row r="43" spans="1:31" ht="15.75" thickBot="1" x14ac:dyDescent="0.3">
      <c r="A43" s="30"/>
      <c r="B43" s="207" t="s">
        <v>317</v>
      </c>
      <c r="C43" s="208"/>
      <c r="D43" s="208"/>
      <c r="E43" s="208"/>
      <c r="F43" s="208"/>
      <c r="G43" s="208"/>
      <c r="H43" s="208"/>
      <c r="I43" s="208"/>
      <c r="J43" s="208"/>
      <c r="K43" s="208"/>
      <c r="L43" s="208"/>
      <c r="M43" s="208"/>
      <c r="N43" s="208"/>
      <c r="O43" s="208"/>
      <c r="P43" s="208"/>
      <c r="Q43" s="208"/>
      <c r="R43" s="209"/>
      <c r="S43" s="30"/>
      <c r="T43" s="30"/>
      <c r="U43" s="30"/>
      <c r="V43" s="30"/>
      <c r="W43" s="30"/>
      <c r="X43" s="30"/>
      <c r="Y43" s="30"/>
      <c r="Z43" s="30"/>
      <c r="AA43" s="30"/>
      <c r="AB43" s="30"/>
      <c r="AC43" s="30"/>
      <c r="AD43" s="30"/>
      <c r="AE43" s="30"/>
    </row>
    <row r="44" spans="1:31" ht="15.75" thickBot="1" x14ac:dyDescent="0.3">
      <c r="A44" s="30"/>
      <c r="B44" s="35" t="s">
        <v>50</v>
      </c>
      <c r="C44" s="36" t="s">
        <v>49</v>
      </c>
      <c r="D44" s="36" t="s">
        <v>48</v>
      </c>
      <c r="E44" s="36" t="s">
        <v>157</v>
      </c>
      <c r="F44" s="210" t="s">
        <v>158</v>
      </c>
      <c r="G44" s="211"/>
      <c r="H44" s="211"/>
      <c r="I44" s="211"/>
      <c r="J44" s="211"/>
      <c r="K44" s="211"/>
      <c r="L44" s="211"/>
      <c r="M44" s="211"/>
      <c r="N44" s="211"/>
      <c r="O44" s="211"/>
      <c r="P44" s="211"/>
      <c r="Q44" s="211"/>
      <c r="R44" s="212"/>
      <c r="S44" s="30"/>
      <c r="T44" s="30"/>
      <c r="U44" s="30"/>
      <c r="V44" s="30"/>
      <c r="W44" s="30"/>
      <c r="X44" s="30"/>
      <c r="Y44" s="30"/>
      <c r="Z44" s="30"/>
      <c r="AA44" s="30"/>
      <c r="AB44" s="30"/>
      <c r="AC44" s="30"/>
      <c r="AD44" s="30"/>
      <c r="AE44" s="30"/>
    </row>
    <row r="45" spans="1:31" x14ac:dyDescent="0.25">
      <c r="A45" s="30"/>
      <c r="B45" s="28" t="str">
        <f>'electric calculations'!C4</f>
        <v>Capacitycool</v>
      </c>
      <c r="C45" s="178">
        <v>0</v>
      </c>
      <c r="D45" s="5" t="str">
        <f>'electric calculations'!E4</f>
        <v>Required Input</v>
      </c>
      <c r="E45" s="5" t="str">
        <f>'electric calculations'!F4</f>
        <v>(Btu/hr)</v>
      </c>
      <c r="F45" s="289" t="str">
        <f>'electric calculations'!G4</f>
        <v>Cooling Capacity of Ground Source Heat Pump. Actual installed</v>
      </c>
      <c r="G45" s="289"/>
      <c r="H45" s="289"/>
      <c r="I45" s="289"/>
      <c r="J45" s="289"/>
      <c r="K45" s="289"/>
      <c r="L45" s="289"/>
      <c r="M45" s="289"/>
      <c r="N45" s="289"/>
      <c r="O45" s="289"/>
      <c r="P45" s="289"/>
      <c r="Q45" s="289"/>
      <c r="R45" s="290"/>
      <c r="S45" s="30"/>
      <c r="T45" s="30"/>
      <c r="U45" s="30"/>
      <c r="V45" s="30"/>
      <c r="W45" s="30"/>
      <c r="X45" s="30"/>
      <c r="Y45" s="30"/>
      <c r="Z45" s="30"/>
      <c r="AA45" s="30"/>
      <c r="AB45" s="30"/>
      <c r="AC45" s="30"/>
      <c r="AD45" s="30"/>
      <c r="AE45" s="30"/>
    </row>
    <row r="46" spans="1:31" ht="14.45" customHeight="1" x14ac:dyDescent="0.25">
      <c r="A46" s="30"/>
      <c r="B46" s="28" t="str">
        <f>'electric calculations'!C8</f>
        <v>EERGSHP</v>
      </c>
      <c r="C46" s="179">
        <v>0</v>
      </c>
      <c r="D46" s="5" t="str">
        <f>'electric calculations'!E8</f>
        <v>Required Input</v>
      </c>
      <c r="E46" s="8" t="str">
        <f>'electric calculations'!F8</f>
        <v>(kBtu/hr / kW)</v>
      </c>
      <c r="F46" s="201" t="str">
        <f>'electric calculations'!G8</f>
        <v>Part Load Energy Efficiency Ratio efficiency of efficient GSHP unit. Actual installed</v>
      </c>
      <c r="G46" s="202"/>
      <c r="H46" s="202"/>
      <c r="I46" s="202"/>
      <c r="J46" s="202"/>
      <c r="K46" s="202"/>
      <c r="L46" s="202"/>
      <c r="M46" s="202"/>
      <c r="N46" s="202"/>
      <c r="O46" s="202"/>
      <c r="P46" s="202"/>
      <c r="Q46" s="202"/>
      <c r="R46" s="203"/>
      <c r="S46" s="30"/>
      <c r="T46" s="30"/>
      <c r="U46" s="30"/>
      <c r="V46" s="30"/>
      <c r="W46" s="30"/>
      <c r="X46" s="30"/>
      <c r="Y46" s="30"/>
      <c r="Z46" s="30"/>
      <c r="AA46" s="30"/>
      <c r="AB46" s="30"/>
      <c r="AC46" s="30"/>
      <c r="AD46" s="30"/>
      <c r="AE46" s="30"/>
    </row>
    <row r="47" spans="1:31" ht="14.45" customHeight="1" x14ac:dyDescent="0.25">
      <c r="A47" s="30"/>
      <c r="B47" s="28" t="str">
        <f>'electric calculations'!C10</f>
        <v>CapacityHeat</v>
      </c>
      <c r="C47" s="180">
        <v>0</v>
      </c>
      <c r="D47" s="5" t="str">
        <f>'electric calculations'!E10</f>
        <v>Required Input</v>
      </c>
      <c r="E47" s="8" t="str">
        <f>'electric calculations'!F10</f>
        <v>(Btu/hr)</v>
      </c>
      <c r="F47" s="282" t="str">
        <f>'electric calculations'!G10</f>
        <v>Heating Capacity of Ground Source Heat Pump. Actual installed</v>
      </c>
      <c r="G47" s="282"/>
      <c r="H47" s="282"/>
      <c r="I47" s="282"/>
      <c r="J47" s="282"/>
      <c r="K47" s="282"/>
      <c r="L47" s="282"/>
      <c r="M47" s="282"/>
      <c r="N47" s="282"/>
      <c r="O47" s="282"/>
      <c r="P47" s="282"/>
      <c r="Q47" s="282"/>
      <c r="R47" s="283"/>
      <c r="S47" s="30"/>
      <c r="T47" s="30"/>
      <c r="U47" s="30"/>
      <c r="V47" s="30"/>
      <c r="W47" s="30"/>
      <c r="X47" s="30"/>
      <c r="Y47" s="30"/>
      <c r="Z47" s="30"/>
      <c r="AA47" s="30"/>
      <c r="AB47" s="30"/>
      <c r="AC47" s="30"/>
      <c r="AD47" s="30"/>
      <c r="AE47" s="30"/>
    </row>
    <row r="48" spans="1:31" ht="14.45" customHeight="1" x14ac:dyDescent="0.25">
      <c r="A48" s="30"/>
      <c r="B48" s="28" t="str">
        <f>'electric calculations'!C15</f>
        <v>COPGSHP</v>
      </c>
      <c r="C48" s="179">
        <v>0</v>
      </c>
      <c r="D48" s="8" t="str">
        <f>'electric calculations'!E15</f>
        <v>Required Input</v>
      </c>
      <c r="E48" s="8" t="str">
        <f>'electric calculations'!F15</f>
        <v>(unitless)</v>
      </c>
      <c r="F48" s="282" t="str">
        <f>'electric calculations'!G15</f>
        <v>Part Load Coefficient of Performance of efficient GSHP. Actual installed</v>
      </c>
      <c r="G48" s="282"/>
      <c r="H48" s="282"/>
      <c r="I48" s="282"/>
      <c r="J48" s="282"/>
      <c r="K48" s="282"/>
      <c r="L48" s="282"/>
      <c r="M48" s="282"/>
      <c r="N48" s="282"/>
      <c r="O48" s="282"/>
      <c r="P48" s="282"/>
      <c r="Q48" s="282"/>
      <c r="R48" s="283"/>
      <c r="S48" s="30"/>
      <c r="T48" s="30"/>
      <c r="U48" s="30"/>
      <c r="V48" s="30"/>
      <c r="W48" s="30"/>
      <c r="X48" s="30"/>
      <c r="Y48" s="30"/>
      <c r="Z48" s="30"/>
      <c r="AA48" s="30"/>
      <c r="AB48" s="30"/>
      <c r="AC48" s="30"/>
      <c r="AD48" s="30"/>
      <c r="AE48" s="30"/>
    </row>
    <row r="49" spans="1:31" ht="14.45" customHeight="1" x14ac:dyDescent="0.25">
      <c r="A49" s="30"/>
      <c r="B49" s="141" t="str">
        <f>'electric calculations'!C17</f>
        <v>ElecDHW</v>
      </c>
      <c r="C49" s="153">
        <v>0</v>
      </c>
      <c r="D49" s="24" t="str">
        <f>'electric calculations'!E17</f>
        <v>Tool incomplete</v>
      </c>
      <c r="E49" s="8" t="str">
        <f>'electric calculations'!F17</f>
        <v>flag</v>
      </c>
      <c r="F49" s="278" t="str">
        <f>'electric calculations'!G17</f>
        <v>1 if building has electric DHW. 0 if building has non electric DHW. 0 if one to one replacement of existing Ground Source Heat Pump</v>
      </c>
      <c r="G49" s="278"/>
      <c r="H49" s="278"/>
      <c r="I49" s="278"/>
      <c r="J49" s="278"/>
      <c r="K49" s="278"/>
      <c r="L49" s="278"/>
      <c r="M49" s="278"/>
      <c r="N49" s="278"/>
      <c r="O49" s="278"/>
      <c r="P49" s="278"/>
      <c r="Q49" s="278"/>
      <c r="R49" s="279"/>
      <c r="S49" s="30"/>
      <c r="T49" s="30"/>
      <c r="U49" s="30"/>
      <c r="V49" s="30"/>
      <c r="W49" s="30"/>
      <c r="X49" s="30"/>
      <c r="Y49" s="30"/>
      <c r="Z49" s="30"/>
      <c r="AA49" s="30"/>
      <c r="AB49" s="30"/>
      <c r="AC49" s="30"/>
      <c r="AD49" s="30"/>
      <c r="AE49" s="30"/>
    </row>
    <row r="50" spans="1:31" ht="14.45" customHeight="1" thickBot="1" x14ac:dyDescent="0.3">
      <c r="A50" s="30"/>
      <c r="B50" s="151" t="str">
        <f>'electric calculations'!C18</f>
        <v xml:space="preserve"> %DHW</v>
      </c>
      <c r="C50" s="154">
        <v>0</v>
      </c>
      <c r="D50" s="152" t="str">
        <f>'electric calculations'!E18</f>
        <v>Tool incomplete</v>
      </c>
      <c r="E50" s="29" t="str">
        <f>'electric calculations'!F18</f>
        <v>(%)</v>
      </c>
      <c r="F50" s="280" t="str">
        <f>'electric calculations'!G18</f>
        <v>Percentage of total DHW load that the GSHP will provide. Actual if known. If unknown and if desuperheater installed assume 44%. 0% if no desuperheater installed</v>
      </c>
      <c r="G50" s="280"/>
      <c r="H50" s="280"/>
      <c r="I50" s="280"/>
      <c r="J50" s="280"/>
      <c r="K50" s="280"/>
      <c r="L50" s="280"/>
      <c r="M50" s="280"/>
      <c r="N50" s="280"/>
      <c r="O50" s="280"/>
      <c r="P50" s="280"/>
      <c r="Q50" s="280"/>
      <c r="R50" s="281"/>
      <c r="S50" s="30"/>
      <c r="T50" s="30"/>
      <c r="U50" s="30"/>
      <c r="V50" s="30"/>
      <c r="W50" s="30"/>
      <c r="X50" s="30"/>
      <c r="Y50" s="30"/>
      <c r="Z50" s="30"/>
      <c r="AA50" s="30"/>
      <c r="AB50" s="30"/>
      <c r="AC50" s="30"/>
      <c r="AD50" s="30"/>
      <c r="AE50" s="30"/>
    </row>
    <row r="51" spans="1:31" s="95" customFormat="1" ht="14.45" customHeight="1" thickBot="1" x14ac:dyDescent="0.3">
      <c r="B51" s="98"/>
      <c r="F51" s="97"/>
      <c r="G51" s="97"/>
      <c r="H51" s="97"/>
      <c r="I51" s="97"/>
      <c r="J51" s="97"/>
      <c r="K51" s="97"/>
      <c r="L51" s="97"/>
      <c r="M51" s="97"/>
      <c r="N51" s="97"/>
      <c r="O51" s="97"/>
      <c r="P51" s="97"/>
      <c r="Q51" s="97"/>
      <c r="R51" s="97"/>
    </row>
    <row r="52" spans="1:31" s="95" customFormat="1" ht="14.45" customHeight="1" thickBot="1" x14ac:dyDescent="0.3">
      <c r="B52" s="207" t="s">
        <v>443</v>
      </c>
      <c r="C52" s="208"/>
      <c r="D52" s="208"/>
      <c r="E52" s="208"/>
      <c r="F52" s="208"/>
      <c r="G52" s="209"/>
      <c r="H52" s="109"/>
      <c r="I52" s="190" t="s">
        <v>445</v>
      </c>
      <c r="J52" s="191"/>
      <c r="K52" s="191"/>
      <c r="L52" s="192"/>
      <c r="M52" s="109"/>
      <c r="N52" s="109"/>
      <c r="O52" s="109"/>
      <c r="P52" s="109"/>
      <c r="Q52" s="109"/>
      <c r="R52" s="109"/>
    </row>
    <row r="53" spans="1:31" s="95" customFormat="1" ht="14.45" customHeight="1" x14ac:dyDescent="0.25">
      <c r="B53" s="157"/>
      <c r="C53" s="158" t="s">
        <v>438</v>
      </c>
      <c r="D53" s="294" t="str">
        <f>IF(AND('Outputs-Savings'!C3&lt;&gt;"Incomplete",'Outputs-Savings'!C3&lt;&gt;0),lookups!B206,lookups!B207)</f>
        <v>Incomplete - Required inputs still needed</v>
      </c>
      <c r="E53" s="295"/>
      <c r="F53" s="295"/>
      <c r="G53" s="296"/>
      <c r="H53" s="109"/>
      <c r="I53" s="199" t="s">
        <v>446</v>
      </c>
      <c r="J53" s="200"/>
      <c r="K53" s="193">
        <f>C45/12000</f>
        <v>0</v>
      </c>
      <c r="L53" s="194"/>
      <c r="M53" s="109"/>
      <c r="N53" s="109"/>
      <c r="O53" s="109"/>
      <c r="P53" s="109"/>
      <c r="Q53" s="109"/>
      <c r="R53" s="109"/>
    </row>
    <row r="54" spans="1:31" s="95" customFormat="1" ht="14.45" customHeight="1" x14ac:dyDescent="0.25">
      <c r="B54" s="159"/>
      <c r="C54" s="160" t="s">
        <v>439</v>
      </c>
      <c r="D54" s="297" t="str">
        <f>IF(AND('Outputs-Savings'!C4&lt;&gt;"Incomplete",'Outputs-Savings'!C4&lt;&gt;0),lookups!B206,lookups!B207)</f>
        <v>Incomplete - Required inputs still needed</v>
      </c>
      <c r="E54" s="298"/>
      <c r="F54" s="298"/>
      <c r="G54" s="299"/>
      <c r="H54" s="109"/>
      <c r="I54" s="199" t="s">
        <v>447</v>
      </c>
      <c r="J54" s="200"/>
      <c r="K54" s="195">
        <v>500</v>
      </c>
      <c r="L54" s="196"/>
      <c r="M54" s="109"/>
      <c r="N54" s="109"/>
      <c r="O54" s="109"/>
      <c r="P54" s="109"/>
      <c r="Q54" s="109"/>
      <c r="R54" s="109"/>
    </row>
    <row r="55" spans="1:31" s="95" customFormat="1" ht="14.45" customHeight="1" x14ac:dyDescent="0.25">
      <c r="B55" s="159"/>
      <c r="C55" s="160" t="s">
        <v>440</v>
      </c>
      <c r="D55" s="297" t="s">
        <v>316</v>
      </c>
      <c r="E55" s="298"/>
      <c r="F55" s="298"/>
      <c r="G55" s="299"/>
      <c r="H55" s="109"/>
      <c r="I55" s="199" t="s">
        <v>449</v>
      </c>
      <c r="J55" s="200"/>
      <c r="K55" s="197" t="str">
        <f>IF(OR(D53=lookups!B207,D54=lookups!B207,D55=lookups!B207,D56=lookups!B207,D57=lookups!B207,C14&lt;&gt;lookups!B11),"Ineligible","Eligible")</f>
        <v>Ineligible</v>
      </c>
      <c r="L55" s="198"/>
      <c r="M55" s="109"/>
      <c r="N55" s="109"/>
      <c r="O55" s="109"/>
      <c r="P55" s="109"/>
      <c r="Q55" s="109"/>
      <c r="R55" s="109"/>
    </row>
    <row r="56" spans="1:31" s="95" customFormat="1" ht="14.45" customHeight="1" x14ac:dyDescent="0.25">
      <c r="B56" s="159"/>
      <c r="C56" s="160" t="s">
        <v>441</v>
      </c>
      <c r="D56" s="297" t="str">
        <f>IF(C18="gas",IF('Outputs-Savings'!C15&lt;&gt;0,lookups!B206,lookups!B207),lookups!B208)</f>
        <v>Not Needed - Not Applicable to this project</v>
      </c>
      <c r="E56" s="298"/>
      <c r="F56" s="298"/>
      <c r="G56" s="299"/>
      <c r="H56" s="109"/>
      <c r="I56" s="199" t="s">
        <v>448</v>
      </c>
      <c r="J56" s="200"/>
      <c r="K56" s="195">
        <f>IF(K55="Eligible",K54*K53,0)</f>
        <v>0</v>
      </c>
      <c r="L56" s="196"/>
      <c r="M56" s="109"/>
      <c r="N56" s="109"/>
      <c r="O56" s="109"/>
      <c r="P56" s="109"/>
      <c r="Q56" s="109"/>
      <c r="R56" s="109"/>
    </row>
    <row r="57" spans="1:31" s="95" customFormat="1" ht="14.45" customHeight="1" thickBot="1" x14ac:dyDescent="0.3">
      <c r="B57" s="161"/>
      <c r="C57" s="162" t="s">
        <v>442</v>
      </c>
      <c r="D57" s="291" t="s">
        <v>316</v>
      </c>
      <c r="E57" s="292"/>
      <c r="F57" s="292"/>
      <c r="G57" s="293"/>
      <c r="H57" s="109"/>
      <c r="I57" s="187"/>
      <c r="J57" s="188"/>
      <c r="K57" s="188"/>
      <c r="L57" s="189"/>
      <c r="M57" s="109"/>
      <c r="N57" s="109"/>
      <c r="O57" s="109"/>
      <c r="P57" s="109"/>
      <c r="Q57" s="109"/>
      <c r="R57" s="109"/>
    </row>
    <row r="58" spans="1:31" s="95" customFormat="1" ht="14.45" customHeight="1" thickBot="1" x14ac:dyDescent="0.3">
      <c r="B58" s="98"/>
      <c r="F58" s="109"/>
      <c r="G58" s="109"/>
      <c r="H58" s="109"/>
      <c r="I58" s="109"/>
      <c r="J58" s="109"/>
      <c r="K58" s="109"/>
      <c r="L58" s="109"/>
      <c r="M58" s="109"/>
      <c r="N58" s="109"/>
      <c r="O58" s="109"/>
      <c r="P58" s="109"/>
      <c r="Q58" s="109"/>
      <c r="R58" s="109"/>
    </row>
    <row r="59" spans="1:31" ht="14.45" customHeight="1" thickBot="1" x14ac:dyDescent="0.3">
      <c r="A59" s="30"/>
      <c r="B59" s="207" t="s">
        <v>315</v>
      </c>
      <c r="C59" s="208"/>
      <c r="D59" s="208"/>
      <c r="E59" s="208"/>
      <c r="F59" s="208"/>
      <c r="G59" s="208"/>
      <c r="H59" s="208"/>
      <c r="I59" s="208"/>
      <c r="J59" s="208"/>
      <c r="K59" s="208"/>
      <c r="L59" s="208"/>
      <c r="M59" s="208"/>
      <c r="N59" s="208"/>
      <c r="O59" s="208"/>
      <c r="P59" s="208"/>
      <c r="Q59" s="208"/>
      <c r="R59" s="209"/>
      <c r="S59" s="30"/>
      <c r="T59" s="30"/>
      <c r="U59" s="30"/>
      <c r="V59" s="30"/>
      <c r="W59" s="30"/>
      <c r="X59" s="30"/>
      <c r="Y59" s="30"/>
      <c r="Z59" s="30"/>
      <c r="AA59" s="30"/>
      <c r="AB59" s="30"/>
      <c r="AC59" s="30"/>
      <c r="AD59" s="30"/>
      <c r="AE59" s="30"/>
    </row>
    <row r="60" spans="1:31" ht="14.45" customHeight="1" thickBot="1" x14ac:dyDescent="0.3">
      <c r="A60" s="30"/>
      <c r="B60" s="35" t="s">
        <v>50</v>
      </c>
      <c r="C60" s="36" t="s">
        <v>49</v>
      </c>
      <c r="D60" s="36" t="s">
        <v>48</v>
      </c>
      <c r="E60" s="36" t="s">
        <v>157</v>
      </c>
      <c r="F60" s="210" t="s">
        <v>158</v>
      </c>
      <c r="G60" s="211"/>
      <c r="H60" s="211"/>
      <c r="I60" s="211"/>
      <c r="J60" s="211"/>
      <c r="K60" s="211"/>
      <c r="L60" s="211"/>
      <c r="M60" s="211"/>
      <c r="N60" s="211"/>
      <c r="O60" s="211"/>
      <c r="P60" s="211"/>
      <c r="Q60" s="211"/>
      <c r="R60" s="212"/>
      <c r="S60" s="30"/>
      <c r="T60" s="30"/>
      <c r="U60" s="30"/>
      <c r="V60" s="30"/>
      <c r="W60" s="30"/>
      <c r="X60" s="30"/>
      <c r="Y60" s="30"/>
      <c r="Z60" s="30"/>
      <c r="AA60" s="30"/>
      <c r="AB60" s="30"/>
      <c r="AC60" s="30"/>
      <c r="AD60" s="30"/>
      <c r="AE60" s="30"/>
    </row>
    <row r="61" spans="1:31" x14ac:dyDescent="0.25">
      <c r="A61" s="30"/>
      <c r="B61" s="28" t="str">
        <f>'electric calculations'!C5</f>
        <v>EFLHCool</v>
      </c>
      <c r="C61" s="181" t="str">
        <f t="shared" ref="C61:C66" si="0">D61</f>
        <v>Incomplete</v>
      </c>
      <c r="D61" s="5" t="str">
        <f>'electric calculations'!E5</f>
        <v>Incomplete</v>
      </c>
      <c r="E61" s="8" t="str">
        <f>'electric calculations'!F5</f>
        <v>(hours)</v>
      </c>
      <c r="F61" s="282" t="str">
        <f>'electric calculations'!G5</f>
        <v>Cooling Equivalent Full Load Hours. Dependent on building type, provided in section 4.4 HVAC End Use</v>
      </c>
      <c r="G61" s="282"/>
      <c r="H61" s="282"/>
      <c r="I61" s="282"/>
      <c r="J61" s="282"/>
      <c r="K61" s="282"/>
      <c r="L61" s="282"/>
      <c r="M61" s="282"/>
      <c r="N61" s="282"/>
      <c r="O61" s="282"/>
      <c r="P61" s="282"/>
      <c r="Q61" s="282"/>
      <c r="R61" s="283"/>
      <c r="S61" s="30"/>
      <c r="T61" s="30"/>
      <c r="U61" s="30"/>
      <c r="V61" s="30"/>
      <c r="W61" s="30"/>
      <c r="X61" s="30"/>
      <c r="Y61" s="30"/>
      <c r="Z61" s="30"/>
      <c r="AA61" s="30"/>
      <c r="AB61" s="30"/>
      <c r="AC61" s="30"/>
      <c r="AD61" s="30"/>
      <c r="AE61" s="30"/>
    </row>
    <row r="62" spans="1:31" ht="14.45" customHeight="1" x14ac:dyDescent="0.25">
      <c r="A62" s="30"/>
      <c r="B62" s="28" t="str">
        <f>'electric calculations'!C7</f>
        <v>EERbase</v>
      </c>
      <c r="C62" s="182" t="str">
        <f t="shared" si="0"/>
        <v>Incomplete</v>
      </c>
      <c r="D62" s="5" t="str">
        <f>'electric calculations'!E7</f>
        <v>Incomplete</v>
      </c>
      <c r="E62" s="8" t="str">
        <f>'electric calculations'!F7</f>
        <v>(kBtu/hr / kW)</v>
      </c>
      <c r="F62" s="278" t="str">
        <f>'electric calculations'!G7</f>
        <v>Energy Efficiency Ratio (EER) of baseline replacement cooling system. Use minimum standard efficiencies as specified in tables in ‘Definition of Baseline Equipment’ section</v>
      </c>
      <c r="G62" s="278"/>
      <c r="H62" s="278"/>
      <c r="I62" s="278"/>
      <c r="J62" s="278"/>
      <c r="K62" s="278"/>
      <c r="L62" s="278"/>
      <c r="M62" s="278"/>
      <c r="N62" s="278"/>
      <c r="O62" s="278"/>
      <c r="P62" s="278"/>
      <c r="Q62" s="278"/>
      <c r="R62" s="279"/>
      <c r="S62" s="30"/>
      <c r="T62" s="30"/>
      <c r="U62" s="30"/>
      <c r="V62" s="30"/>
      <c r="W62" s="30"/>
      <c r="X62" s="30"/>
      <c r="Y62" s="30"/>
      <c r="Z62" s="30"/>
      <c r="AA62" s="30"/>
      <c r="AB62" s="30"/>
      <c r="AC62" s="30"/>
      <c r="AD62" s="30"/>
      <c r="AE62" s="30"/>
    </row>
    <row r="63" spans="1:31" ht="14.45" customHeight="1" x14ac:dyDescent="0.25">
      <c r="A63" s="30"/>
      <c r="B63" s="28" t="str">
        <f>'electric calculations'!C9</f>
        <v>ElecHeat</v>
      </c>
      <c r="C63" s="182" t="str">
        <f t="shared" si="0"/>
        <v>Incomplete</v>
      </c>
      <c r="D63" s="5" t="str">
        <f>'electric calculations'!E9</f>
        <v>Incomplete</v>
      </c>
      <c r="E63" s="8" t="str">
        <f>'electric calculations'!F9</f>
        <v>flag</v>
      </c>
      <c r="F63" s="282" t="str">
        <f>'electric calculations'!G9</f>
        <v>1 if baseline/existing heating system is electric. 0 if existing system is non electric</v>
      </c>
      <c r="G63" s="282"/>
      <c r="H63" s="282"/>
      <c r="I63" s="282"/>
      <c r="J63" s="282"/>
      <c r="K63" s="282"/>
      <c r="L63" s="282"/>
      <c r="M63" s="282"/>
      <c r="N63" s="282"/>
      <c r="O63" s="282"/>
      <c r="P63" s="282"/>
      <c r="Q63" s="282"/>
      <c r="R63" s="283"/>
      <c r="S63" s="30"/>
      <c r="T63" s="30"/>
      <c r="U63" s="30"/>
      <c r="V63" s="30"/>
      <c r="W63" s="30"/>
      <c r="X63" s="30"/>
      <c r="Y63" s="30"/>
      <c r="Z63" s="30"/>
      <c r="AA63" s="30"/>
      <c r="AB63" s="30"/>
      <c r="AC63" s="30"/>
      <c r="AD63" s="30"/>
      <c r="AE63" s="30"/>
    </row>
    <row r="64" spans="1:31" ht="14.45" customHeight="1" x14ac:dyDescent="0.25">
      <c r="A64" s="30"/>
      <c r="B64" s="28" t="str">
        <f>'electric calculations'!C11</f>
        <v>EFLHHeat</v>
      </c>
      <c r="C64" s="183" t="str">
        <f t="shared" si="0"/>
        <v>Incomplete</v>
      </c>
      <c r="D64" s="5" t="str">
        <f>'electric calculations'!E11</f>
        <v>Incomplete</v>
      </c>
      <c r="E64" s="8" t="str">
        <f>'electric calculations'!F11</f>
        <v>(hours)</v>
      </c>
      <c r="F64" s="282" t="str">
        <f>'electric calculations'!G11</f>
        <v>Heating Equivalent Full Load Hours. Dependent on building type, provided in section 4.4 HVAC End Use</v>
      </c>
      <c r="G64" s="282"/>
      <c r="H64" s="282"/>
      <c r="I64" s="282"/>
      <c r="J64" s="282"/>
      <c r="K64" s="282"/>
      <c r="L64" s="282"/>
      <c r="M64" s="282"/>
      <c r="N64" s="282"/>
      <c r="O64" s="282"/>
      <c r="P64" s="282"/>
      <c r="Q64" s="282"/>
      <c r="R64" s="283"/>
      <c r="S64" s="30"/>
      <c r="T64" s="30"/>
      <c r="U64" s="30"/>
      <c r="V64" s="30"/>
      <c r="W64" s="30"/>
      <c r="X64" s="30"/>
      <c r="Y64" s="30"/>
      <c r="Z64" s="30"/>
      <c r="AA64" s="30"/>
      <c r="AB64" s="30"/>
      <c r="AC64" s="30"/>
      <c r="AD64" s="30"/>
      <c r="AE64" s="30"/>
    </row>
    <row r="65" spans="1:31" ht="14.45" customHeight="1" x14ac:dyDescent="0.25">
      <c r="A65" s="30"/>
      <c r="B65" s="28" t="str">
        <f>'electric calculations'!C13</f>
        <v>HSPFbase</v>
      </c>
      <c r="C65" s="184" t="str">
        <f t="shared" si="0"/>
        <v>Incomplete Inputs</v>
      </c>
      <c r="D65" s="102" t="str">
        <f>'electric calculations'!E13</f>
        <v>Incomplete Inputs</v>
      </c>
      <c r="E65" s="8" t="str">
        <f>'electric calculations'!F13</f>
        <v>(kBtu/kWh)</v>
      </c>
      <c r="F65" s="282" t="str">
        <f>'electric calculations'!G13</f>
        <v>Heating System Performance Factor of new replacement baseline heating system [of the existing type, but new]</v>
      </c>
      <c r="G65" s="282"/>
      <c r="H65" s="282"/>
      <c r="I65" s="282"/>
      <c r="J65" s="282"/>
      <c r="K65" s="282"/>
      <c r="L65" s="282"/>
      <c r="M65" s="282"/>
      <c r="N65" s="282"/>
      <c r="O65" s="282"/>
      <c r="P65" s="282"/>
      <c r="Q65" s="282"/>
      <c r="R65" s="283"/>
      <c r="S65" s="30"/>
      <c r="T65" s="30"/>
      <c r="U65" s="30"/>
      <c r="V65" s="30"/>
      <c r="W65" s="30"/>
      <c r="X65" s="30"/>
      <c r="Y65" s="30"/>
      <c r="Z65" s="30"/>
      <c r="AA65" s="30"/>
      <c r="AB65" s="30"/>
      <c r="AC65" s="30"/>
      <c r="AD65" s="30"/>
      <c r="AE65" s="30"/>
    </row>
    <row r="66" spans="1:31" ht="14.45" customHeight="1" x14ac:dyDescent="0.25">
      <c r="A66" s="30"/>
      <c r="B66" s="28" t="str">
        <f>'electric calculations'!C14</f>
        <v>HSPFASHP</v>
      </c>
      <c r="C66" s="184" t="str">
        <f t="shared" si="0"/>
        <v>Input CapacityHeat</v>
      </c>
      <c r="D66" s="102" t="str">
        <f>'electric calculations'!E14</f>
        <v>Input CapacityHeat</v>
      </c>
      <c r="E66" s="8" t="str">
        <f>'electric calculations'!F14</f>
        <v>(kBtu/kWh)</v>
      </c>
      <c r="F66" s="282" t="str">
        <f>'electric calculations'!G14</f>
        <v>Heating System Performance Factor of new replacement ASHP. (for fuel switch). Refer to applicable Table in ‘Definition of Baseline Equipment’ section</v>
      </c>
      <c r="G66" s="282"/>
      <c r="H66" s="282"/>
      <c r="I66" s="282"/>
      <c r="J66" s="282"/>
      <c r="K66" s="282"/>
      <c r="L66" s="282"/>
      <c r="M66" s="282"/>
      <c r="N66" s="282"/>
      <c r="O66" s="282"/>
      <c r="P66" s="282"/>
      <c r="Q66" s="282"/>
      <c r="R66" s="283"/>
      <c r="S66" s="30"/>
      <c r="T66" s="30"/>
      <c r="U66" s="30"/>
      <c r="V66" s="30"/>
      <c r="W66" s="30"/>
      <c r="X66" s="30"/>
      <c r="Y66" s="30"/>
      <c r="Z66" s="30"/>
      <c r="AA66" s="30"/>
      <c r="AB66" s="30"/>
      <c r="AC66" s="30"/>
      <c r="AD66" s="30"/>
      <c r="AE66" s="30"/>
    </row>
    <row r="67" spans="1:31" ht="14.45" customHeight="1" x14ac:dyDescent="0.25">
      <c r="A67" s="30"/>
      <c r="B67" s="141" t="str">
        <f>'gas calculations'!C19</f>
        <v>GasEffbase</v>
      </c>
      <c r="C67" s="185" t="str">
        <f>D67</f>
        <v>Incomplete</v>
      </c>
      <c r="D67" s="140" t="str">
        <f>'gas calculations'!E19</f>
        <v>Incomplete</v>
      </c>
      <c r="E67" s="8" t="str">
        <f>'gas calculations'!F19</f>
        <v>%</v>
      </c>
      <c r="F67" s="201" t="str">
        <f>'gas calculations'!G19</f>
        <v>Minimum federal standard baseline efficiency of boiler or furnace</v>
      </c>
      <c r="G67" s="202"/>
      <c r="H67" s="202"/>
      <c r="I67" s="202"/>
      <c r="J67" s="202"/>
      <c r="K67" s="202"/>
      <c r="L67" s="202"/>
      <c r="M67" s="202"/>
      <c r="N67" s="202"/>
      <c r="O67" s="202"/>
      <c r="P67" s="202"/>
      <c r="Q67" s="202"/>
      <c r="R67" s="203"/>
      <c r="S67" s="30"/>
      <c r="T67" s="30"/>
      <c r="U67" s="30"/>
      <c r="V67" s="30"/>
      <c r="W67" s="30"/>
      <c r="X67" s="30"/>
      <c r="Y67" s="30"/>
      <c r="Z67" s="30"/>
      <c r="AA67" s="30"/>
      <c r="AB67" s="30"/>
      <c r="AC67" s="30"/>
      <c r="AD67" s="30"/>
      <c r="AE67" s="30"/>
    </row>
    <row r="68" spans="1:31" ht="14.45" customHeight="1" x14ac:dyDescent="0.25">
      <c r="A68" s="30"/>
      <c r="B68" s="141" t="s">
        <v>368</v>
      </c>
      <c r="C68" s="186" t="str">
        <f>D68</f>
        <v>Incomplete</v>
      </c>
      <c r="D68" s="142" t="str">
        <f>'gas calculations'!E20</f>
        <v>Incomplete</v>
      </c>
      <c r="E68" s="8" t="str">
        <f>'gas calculations'!F20</f>
        <v>Therm/kWh</v>
      </c>
      <c r="F68" s="201" t="str">
        <f>'gas calculations'!G20</f>
        <v>Converts source kWh to Therms</v>
      </c>
      <c r="G68" s="202"/>
      <c r="H68" s="202"/>
      <c r="I68" s="202"/>
      <c r="J68" s="202"/>
      <c r="K68" s="202"/>
      <c r="L68" s="202"/>
      <c r="M68" s="202"/>
      <c r="N68" s="202"/>
      <c r="O68" s="202"/>
      <c r="P68" s="202"/>
      <c r="Q68" s="202"/>
      <c r="R68" s="203"/>
      <c r="S68" s="30"/>
      <c r="T68" s="30"/>
      <c r="U68" s="30"/>
      <c r="V68" s="30"/>
      <c r="W68" s="30"/>
      <c r="X68" s="30"/>
      <c r="Y68" s="30"/>
      <c r="Z68" s="30"/>
      <c r="AA68" s="30"/>
      <c r="AB68" s="30"/>
      <c r="AC68" s="30"/>
      <c r="AD68" s="30"/>
      <c r="AE68" s="30"/>
    </row>
    <row r="69" spans="1:31" ht="14.45" customHeight="1" x14ac:dyDescent="0.25">
      <c r="A69" s="30"/>
      <c r="B69" s="141" t="str">
        <f>'electric calculations'!C19</f>
        <v>Efelecbase</v>
      </c>
      <c r="C69" s="153"/>
      <c r="D69" s="24" t="str">
        <f>'electric calculations'!E19</f>
        <v>Tool incomplete</v>
      </c>
      <c r="E69" s="8">
        <f>'electric calculations'!F19</f>
        <v>0</v>
      </c>
      <c r="F69" s="282" t="str">
        <f>'electric calculations'!G19</f>
        <v>Energy Factor of baseline electric DHW. Actual. If unknown or for new construction assume federal standard as defined in applicable table in ‘Definition of Baseline Equipment’ section</v>
      </c>
      <c r="G69" s="282"/>
      <c r="H69" s="282"/>
      <c r="I69" s="282"/>
      <c r="J69" s="282"/>
      <c r="K69" s="282"/>
      <c r="L69" s="282"/>
      <c r="M69" s="282"/>
      <c r="N69" s="282"/>
      <c r="O69" s="282"/>
      <c r="P69" s="282"/>
      <c r="Q69" s="282"/>
      <c r="R69" s="283"/>
      <c r="S69" s="30"/>
      <c r="T69" s="30"/>
      <c r="U69" s="30"/>
      <c r="V69" s="30"/>
      <c r="W69" s="30"/>
      <c r="X69" s="30"/>
      <c r="Y69" s="30"/>
      <c r="Z69" s="30"/>
      <c r="AA69" s="30"/>
      <c r="AB69" s="30"/>
      <c r="AC69" s="30"/>
      <c r="AD69" s="30"/>
      <c r="AE69" s="30"/>
    </row>
    <row r="70" spans="1:31" ht="14.45" customHeight="1" thickBot="1" x14ac:dyDescent="0.3">
      <c r="A70" s="30"/>
      <c r="B70" s="151" t="str">
        <f>'electric calculations'!C20</f>
        <v>HotWaterUseGallon</v>
      </c>
      <c r="C70" s="154"/>
      <c r="D70" s="152" t="str">
        <f>'electric calculations'!E20</f>
        <v>Tool incomplete</v>
      </c>
      <c r="E70" s="152" t="str">
        <f>'electric calculations'!F20</f>
        <v>oof. Yeesh. Separate sub input routine required</v>
      </c>
      <c r="F70" s="264">
        <f>'electric calculations'!G20</f>
        <v>0</v>
      </c>
      <c r="G70" s="264"/>
      <c r="H70" s="264"/>
      <c r="I70" s="264"/>
      <c r="J70" s="264"/>
      <c r="K70" s="264"/>
      <c r="L70" s="264"/>
      <c r="M70" s="264"/>
      <c r="N70" s="264"/>
      <c r="O70" s="264"/>
      <c r="P70" s="264"/>
      <c r="Q70" s="264"/>
      <c r="R70" s="265"/>
      <c r="S70" s="30"/>
      <c r="T70" s="30"/>
      <c r="U70" s="30"/>
      <c r="V70" s="30"/>
      <c r="W70" s="30"/>
      <c r="X70" s="30"/>
      <c r="Y70" s="30"/>
      <c r="Z70" s="30"/>
      <c r="AA70" s="30"/>
      <c r="AB70" s="30"/>
      <c r="AC70" s="30"/>
      <c r="AD70" s="30"/>
      <c r="AE70" s="30"/>
    </row>
    <row r="71" spans="1:31" ht="15.75" thickBot="1" x14ac:dyDescent="0.3">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row>
    <row r="72" spans="1:31" ht="15.75" thickBot="1" x14ac:dyDescent="0.3">
      <c r="A72" s="30"/>
      <c r="B72" s="207" t="s">
        <v>413</v>
      </c>
      <c r="C72" s="208"/>
      <c r="D72" s="208"/>
      <c r="E72" s="208"/>
      <c r="F72" s="208"/>
      <c r="G72" s="208"/>
      <c r="H72" s="208"/>
      <c r="I72" s="208"/>
      <c r="J72" s="208"/>
      <c r="K72" s="208"/>
      <c r="L72" s="208"/>
      <c r="M72" s="208"/>
      <c r="N72" s="208"/>
      <c r="O72" s="208"/>
      <c r="P72" s="208"/>
      <c r="Q72" s="208"/>
      <c r="R72" s="209"/>
      <c r="S72" s="30"/>
      <c r="T72" s="30"/>
      <c r="U72" s="30"/>
      <c r="V72" s="30"/>
      <c r="W72" s="30"/>
      <c r="X72" s="30"/>
      <c r="Y72" s="30"/>
      <c r="Z72" s="30"/>
      <c r="AA72" s="30"/>
      <c r="AB72" s="30"/>
      <c r="AC72" s="30"/>
      <c r="AD72" s="30"/>
      <c r="AE72" s="30"/>
    </row>
    <row r="73" spans="1:31" ht="15.75" thickBot="1" x14ac:dyDescent="0.3">
      <c r="B73" s="35" t="s">
        <v>50</v>
      </c>
      <c r="C73" s="36" t="s">
        <v>49</v>
      </c>
      <c r="D73" s="36" t="s">
        <v>48</v>
      </c>
      <c r="E73" s="36" t="s">
        <v>157</v>
      </c>
      <c r="F73" s="210" t="s">
        <v>158</v>
      </c>
      <c r="G73" s="211"/>
      <c r="H73" s="211"/>
      <c r="I73" s="211"/>
      <c r="J73" s="211"/>
      <c r="K73" s="211"/>
      <c r="L73" s="211"/>
      <c r="M73" s="211"/>
      <c r="N73" s="211"/>
      <c r="O73" s="211"/>
      <c r="P73" s="211"/>
      <c r="Q73" s="211"/>
      <c r="R73" s="212"/>
      <c r="S73" s="30"/>
      <c r="T73" s="30"/>
      <c r="U73" s="30"/>
      <c r="V73" s="30"/>
      <c r="W73" s="30"/>
      <c r="X73" s="30"/>
      <c r="Y73" s="30"/>
      <c r="Z73" s="30"/>
      <c r="AA73" s="30"/>
      <c r="AB73" s="30"/>
      <c r="AC73" s="30"/>
      <c r="AD73" s="30"/>
      <c r="AE73" s="30"/>
    </row>
    <row r="74" spans="1:31" x14ac:dyDescent="0.25">
      <c r="A74" s="30"/>
      <c r="B74" s="28" t="str">
        <f>'electric calculations'!C16</f>
        <v>Constant</v>
      </c>
      <c r="C74" s="143">
        <f t="shared" ref="C74:C81" si="1">D74</f>
        <v>3.4119999999999999</v>
      </c>
      <c r="D74" s="24">
        <f>'electric calculations'!E16</f>
        <v>3.4119999999999999</v>
      </c>
      <c r="E74" s="8" t="str">
        <f>'electric calculations'!F16</f>
        <v>(kWh/kbtu)</v>
      </c>
      <c r="F74" s="282" t="str">
        <f>'electric calculations'!G16</f>
        <v>Constant to convert the COP of the unit to the Heating Season Performance Factor (HSPF)</v>
      </c>
      <c r="G74" s="282"/>
      <c r="H74" s="282"/>
      <c r="I74" s="282"/>
      <c r="J74" s="282"/>
      <c r="K74" s="282"/>
      <c r="L74" s="282"/>
      <c r="M74" s="282"/>
      <c r="N74" s="282"/>
      <c r="O74" s="282"/>
      <c r="P74" s="282"/>
      <c r="Q74" s="282"/>
      <c r="R74" s="283"/>
      <c r="S74" s="30"/>
      <c r="T74" s="30"/>
      <c r="U74" s="30"/>
      <c r="V74" s="30"/>
      <c r="W74" s="30"/>
      <c r="X74" s="30"/>
      <c r="Y74" s="30"/>
      <c r="Z74" s="30"/>
      <c r="AA74" s="30"/>
      <c r="AB74" s="30"/>
      <c r="AC74" s="30"/>
      <c r="AD74" s="30"/>
      <c r="AE74" s="30"/>
    </row>
    <row r="75" spans="1:31" x14ac:dyDescent="0.25">
      <c r="A75" s="30"/>
      <c r="B75" s="141" t="s">
        <v>366</v>
      </c>
      <c r="C75" s="163" t="str">
        <f>D75</f>
        <v>Incomplete</v>
      </c>
      <c r="D75" s="24" t="str">
        <f>'gas calculations'!E17</f>
        <v>Incomplete</v>
      </c>
      <c r="E75" s="8" t="str">
        <f>'gas calculations'!F17</f>
        <v>therms</v>
      </c>
      <c r="F75" s="201" t="str">
        <f>'gas calculations'!G17</f>
        <v>Estimate of annual heating load = Capacityheat * EFLHheat / 100,000</v>
      </c>
      <c r="G75" s="202"/>
      <c r="H75" s="202"/>
      <c r="I75" s="202"/>
      <c r="J75" s="202"/>
      <c r="K75" s="202"/>
      <c r="L75" s="202"/>
      <c r="M75" s="202"/>
      <c r="N75" s="202"/>
      <c r="O75" s="202"/>
      <c r="P75" s="202"/>
      <c r="Q75" s="202"/>
      <c r="R75" s="203"/>
      <c r="S75" s="30"/>
      <c r="T75" s="30"/>
      <c r="U75" s="30"/>
      <c r="V75" s="30"/>
      <c r="W75" s="30"/>
      <c r="X75" s="30"/>
      <c r="Y75" s="30"/>
      <c r="Z75" s="30"/>
      <c r="AA75" s="30"/>
      <c r="AB75" s="30"/>
      <c r="AC75" s="30"/>
      <c r="AD75" s="30"/>
      <c r="AE75" s="30"/>
    </row>
    <row r="76" spans="1:31" x14ac:dyDescent="0.25">
      <c r="A76" s="30"/>
      <c r="B76" s="141" t="s">
        <v>375</v>
      </c>
      <c r="C76" s="164" t="str">
        <f>D76</f>
        <v>Incomplete</v>
      </c>
      <c r="D76" s="144" t="str">
        <f>'gas calculations'!E18</f>
        <v>Incomplete</v>
      </c>
      <c r="E76" s="8" t="str">
        <f>'gas calculations'!F18</f>
        <v>btu/kWh</v>
      </c>
      <c r="F76" s="201" t="str">
        <f>'gas calculations'!G18</f>
        <v>Heat rate of the grid in btu/kWh… full description in TRM</v>
      </c>
      <c r="G76" s="202"/>
      <c r="H76" s="202"/>
      <c r="I76" s="202"/>
      <c r="J76" s="202"/>
      <c r="K76" s="202"/>
      <c r="L76" s="202"/>
      <c r="M76" s="202"/>
      <c r="N76" s="202"/>
      <c r="O76" s="202"/>
      <c r="P76" s="202"/>
      <c r="Q76" s="202"/>
      <c r="R76" s="203"/>
      <c r="S76" s="30"/>
      <c r="T76" s="30"/>
      <c r="U76" s="30"/>
      <c r="V76" s="30"/>
      <c r="W76" s="30"/>
      <c r="X76" s="30"/>
      <c r="Y76" s="30"/>
      <c r="Z76" s="30"/>
      <c r="AA76" s="30"/>
      <c r="AB76" s="30"/>
      <c r="AC76" s="30"/>
      <c r="AD76" s="30"/>
      <c r="AE76" s="30"/>
    </row>
    <row r="77" spans="1:31" ht="14.45" customHeight="1" x14ac:dyDescent="0.25">
      <c r="A77" s="30"/>
      <c r="B77" s="28" t="str">
        <f>'electric calculations'!C21</f>
        <v>γWater</v>
      </c>
      <c r="C77" s="44">
        <f t="shared" si="1"/>
        <v>8.33</v>
      </c>
      <c r="D77" s="8">
        <f>'electric calculations'!E21</f>
        <v>8.33</v>
      </c>
      <c r="E77" s="8" t="str">
        <f>'electric calculations'!F21</f>
        <v>(lb/gal)</v>
      </c>
      <c r="F77" s="282" t="str">
        <f>'electric calculations'!G21</f>
        <v>Density of water. 8.33 pounds per gallon</v>
      </c>
      <c r="G77" s="282"/>
      <c r="H77" s="282"/>
      <c r="I77" s="282"/>
      <c r="J77" s="282"/>
      <c r="K77" s="282"/>
      <c r="L77" s="282"/>
      <c r="M77" s="282"/>
      <c r="N77" s="282"/>
      <c r="O77" s="282"/>
      <c r="P77" s="282"/>
      <c r="Q77" s="282"/>
      <c r="R77" s="283"/>
      <c r="S77" s="30"/>
      <c r="T77" s="30"/>
      <c r="U77" s="30"/>
      <c r="V77" s="30"/>
      <c r="W77" s="30"/>
      <c r="X77" s="30"/>
      <c r="Y77" s="30"/>
      <c r="Z77" s="30"/>
      <c r="AA77" s="30"/>
      <c r="AB77" s="30"/>
      <c r="AC77" s="30"/>
      <c r="AD77" s="30"/>
      <c r="AE77" s="30"/>
    </row>
    <row r="78" spans="1:31" ht="14.45" customHeight="1" x14ac:dyDescent="0.25">
      <c r="A78" s="30"/>
      <c r="B78" s="28" t="str">
        <f>'electric calculations'!C22</f>
        <v>Tout</v>
      </c>
      <c r="C78" s="44">
        <f t="shared" si="1"/>
        <v>125</v>
      </c>
      <c r="D78" s="8">
        <f>'electric calculations'!E22</f>
        <v>125</v>
      </c>
      <c r="E78" s="8" t="str">
        <f>'electric calculations'!F22</f>
        <v>(°F)</v>
      </c>
      <c r="F78" s="282" t="str">
        <f>'electric calculations'!G22</f>
        <v>Tank temperature. 125°F</v>
      </c>
      <c r="G78" s="282"/>
      <c r="H78" s="282"/>
      <c r="I78" s="282"/>
      <c r="J78" s="282"/>
      <c r="K78" s="282"/>
      <c r="L78" s="282"/>
      <c r="M78" s="282"/>
      <c r="N78" s="282"/>
      <c r="O78" s="282"/>
      <c r="P78" s="282"/>
      <c r="Q78" s="282"/>
      <c r="R78" s="283"/>
      <c r="S78" s="30"/>
      <c r="T78" s="30"/>
      <c r="U78" s="30"/>
      <c r="V78" s="30"/>
      <c r="W78" s="30"/>
      <c r="X78" s="30"/>
      <c r="Y78" s="30"/>
      <c r="Z78" s="30"/>
      <c r="AA78" s="30"/>
      <c r="AB78" s="30"/>
      <c r="AC78" s="30"/>
      <c r="AD78" s="30"/>
      <c r="AE78" s="30"/>
    </row>
    <row r="79" spans="1:31" ht="14.45" customHeight="1" x14ac:dyDescent="0.25">
      <c r="A79" s="30"/>
      <c r="B79" s="28" t="str">
        <f>'electric calculations'!C23</f>
        <v>Tin</v>
      </c>
      <c r="C79" s="44">
        <f t="shared" si="1"/>
        <v>54</v>
      </c>
      <c r="D79" s="8">
        <f>'electric calculations'!E23</f>
        <v>54</v>
      </c>
      <c r="E79" s="8" t="str">
        <f>'electric calculations'!F23</f>
        <v>(°F)</v>
      </c>
      <c r="F79" s="282" t="str">
        <f>'electric calculations'!G23</f>
        <v>Incoming water temperature from well or municiplal system. 54°F</v>
      </c>
      <c r="G79" s="282"/>
      <c r="H79" s="282"/>
      <c r="I79" s="282"/>
      <c r="J79" s="282"/>
      <c r="K79" s="282"/>
      <c r="L79" s="282"/>
      <c r="M79" s="282"/>
      <c r="N79" s="282"/>
      <c r="O79" s="282"/>
      <c r="P79" s="282"/>
      <c r="Q79" s="282"/>
      <c r="R79" s="283"/>
      <c r="S79" s="30"/>
      <c r="T79" s="30"/>
      <c r="U79" s="30"/>
      <c r="V79" s="30"/>
      <c r="W79" s="30"/>
      <c r="X79" s="30"/>
      <c r="Y79" s="30"/>
      <c r="Z79" s="30"/>
      <c r="AA79" s="30"/>
      <c r="AB79" s="30"/>
      <c r="AC79" s="30"/>
      <c r="AD79" s="30"/>
      <c r="AE79" s="30"/>
    </row>
    <row r="80" spans="1:31" x14ac:dyDescent="0.25">
      <c r="A80" s="30"/>
      <c r="B80" s="28" t="str">
        <f>'electric calculations'!C24</f>
        <v>Constant</v>
      </c>
      <c r="C80" s="44">
        <f t="shared" si="1"/>
        <v>1</v>
      </c>
      <c r="D80" s="8">
        <f>'electric calculations'!E24</f>
        <v>1</v>
      </c>
      <c r="E80" s="8" t="str">
        <f>'electric calculations'!F24</f>
        <v>(Btu/lb*°F)</v>
      </c>
      <c r="F80" s="282" t="str">
        <f>'electric calculations'!G24</f>
        <v xml:space="preserve">Heat Capacity of water </v>
      </c>
      <c r="G80" s="282"/>
      <c r="H80" s="282"/>
      <c r="I80" s="282"/>
      <c r="J80" s="282"/>
      <c r="K80" s="282"/>
      <c r="L80" s="282"/>
      <c r="M80" s="282"/>
      <c r="N80" s="282"/>
      <c r="O80" s="282"/>
      <c r="P80" s="282"/>
      <c r="Q80" s="282"/>
      <c r="R80" s="283"/>
      <c r="S80" s="30"/>
      <c r="T80" s="30"/>
      <c r="U80" s="30"/>
      <c r="V80" s="30"/>
      <c r="W80" s="30"/>
      <c r="X80" s="30"/>
      <c r="Y80" s="30"/>
      <c r="Z80" s="30"/>
      <c r="AA80" s="30"/>
      <c r="AB80" s="30"/>
      <c r="AC80" s="30"/>
      <c r="AD80" s="30"/>
      <c r="AE80" s="30"/>
    </row>
    <row r="81" spans="1:31" ht="15.75" thickBot="1" x14ac:dyDescent="0.3">
      <c r="A81" s="30"/>
      <c r="B81" s="37" t="str">
        <f>'electric calculations'!C25</f>
        <v>Constant</v>
      </c>
      <c r="C81" s="45">
        <f t="shared" si="1"/>
        <v>3412</v>
      </c>
      <c r="D81" s="29">
        <f>'electric calculations'!E25</f>
        <v>3412</v>
      </c>
      <c r="E81" s="29" t="str">
        <f>'electric calculations'!F25</f>
        <v>(kWh/btu)</v>
      </c>
      <c r="F81" s="264" t="str">
        <f>'electric calculations'!G25</f>
        <v>Conversion from Btu to kWh</v>
      </c>
      <c r="G81" s="264"/>
      <c r="H81" s="264"/>
      <c r="I81" s="264"/>
      <c r="J81" s="264"/>
      <c r="K81" s="264"/>
      <c r="L81" s="264"/>
      <c r="M81" s="264"/>
      <c r="N81" s="264"/>
      <c r="O81" s="264"/>
      <c r="P81" s="264"/>
      <c r="Q81" s="264"/>
      <c r="R81" s="265"/>
      <c r="S81" s="30"/>
      <c r="T81" s="30"/>
      <c r="U81" s="30"/>
      <c r="V81" s="30"/>
      <c r="W81" s="30"/>
      <c r="X81" s="30"/>
      <c r="Y81" s="30"/>
      <c r="Z81" s="30"/>
      <c r="AA81" s="30"/>
      <c r="AB81" s="30"/>
      <c r="AC81" s="30"/>
      <c r="AD81" s="30"/>
      <c r="AE81" s="30"/>
    </row>
    <row r="82" spans="1:31"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row>
    <row r="83" spans="1:31"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row>
    <row r="84" spans="1:31"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row>
    <row r="85" spans="1:31"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row>
    <row r="86" spans="1:31"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row>
    <row r="87" spans="1:31"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row>
    <row r="88" spans="1:31"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row>
    <row r="89" spans="1:31"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row>
    <row r="90" spans="1:31"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row>
    <row r="91" spans="1:31"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row>
    <row r="92" spans="1:31"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row>
    <row r="93" spans="1:31"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row>
    <row r="94" spans="1:31"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row>
    <row r="96" spans="1:31"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row>
    <row r="97" spans="1:31"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row>
    <row r="98" spans="1:31"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spans="1:31"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row>
    <row r="100" spans="1:31"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row>
    <row r="101" spans="1:31"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row>
    <row r="102" spans="1:31"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row>
    <row r="103" spans="1:31"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row>
  </sheetData>
  <sheetProtection algorithmName="SHA-512" hashValue="KexXPO4scOzxsOyKX4bLpFAqDuhVkqKx4a6t1vSZ3wLSc2IYXkleNXjxfVpDXlQXqEQFDXLjQ1zn1ciCmyPyXQ==" saltValue="+7s0NzLMY6e1KQm7wW/vRg==" spinCount="100000" sheet="1" selectLockedCells="1"/>
  <mergeCells count="77">
    <mergeCell ref="B52:G52"/>
    <mergeCell ref="D53:G53"/>
    <mergeCell ref="D54:G54"/>
    <mergeCell ref="D55:G55"/>
    <mergeCell ref="D56:G56"/>
    <mergeCell ref="B9:C10"/>
    <mergeCell ref="F80:R80"/>
    <mergeCell ref="B14:B17"/>
    <mergeCell ref="B19:C19"/>
    <mergeCell ref="B22:C22"/>
    <mergeCell ref="F78:R78"/>
    <mergeCell ref="F79:R79"/>
    <mergeCell ref="F74:R74"/>
    <mergeCell ref="B43:R43"/>
    <mergeCell ref="F46:R46"/>
    <mergeCell ref="F63:R63"/>
    <mergeCell ref="F47:R47"/>
    <mergeCell ref="F64:R64"/>
    <mergeCell ref="F62:R62"/>
    <mergeCell ref="F45:R45"/>
    <mergeCell ref="F61:R61"/>
    <mergeCell ref="F81:R81"/>
    <mergeCell ref="E3:P3"/>
    <mergeCell ref="E4:P4"/>
    <mergeCell ref="E5:P7"/>
    <mergeCell ref="E8:P13"/>
    <mergeCell ref="E14:P15"/>
    <mergeCell ref="E16:P16"/>
    <mergeCell ref="F49:R49"/>
    <mergeCell ref="F50:R50"/>
    <mergeCell ref="F69:R69"/>
    <mergeCell ref="F70:R70"/>
    <mergeCell ref="F77:R77"/>
    <mergeCell ref="F65:R65"/>
    <mergeCell ref="F66:R66"/>
    <mergeCell ref="F48:R48"/>
    <mergeCell ref="B72:R72"/>
    <mergeCell ref="B11:C11"/>
    <mergeCell ref="F30:O30"/>
    <mergeCell ref="F17:O17"/>
    <mergeCell ref="F18:O20"/>
    <mergeCell ref="F21:O24"/>
    <mergeCell ref="F25:O29"/>
    <mergeCell ref="B20:C20"/>
    <mergeCell ref="C15:C17"/>
    <mergeCell ref="B26:D26"/>
    <mergeCell ref="B2:C2"/>
    <mergeCell ref="C3:C4"/>
    <mergeCell ref="C5:C6"/>
    <mergeCell ref="C7:C8"/>
    <mergeCell ref="B3:B8"/>
    <mergeCell ref="F68:R68"/>
    <mergeCell ref="F75:R75"/>
    <mergeCell ref="F76:R76"/>
    <mergeCell ref="F67:R67"/>
    <mergeCell ref="F32:I32"/>
    <mergeCell ref="B59:R59"/>
    <mergeCell ref="F60:R60"/>
    <mergeCell ref="B35:E35"/>
    <mergeCell ref="B39:E41"/>
    <mergeCell ref="C37:D37"/>
    <mergeCell ref="C36:D36"/>
    <mergeCell ref="F44:R44"/>
    <mergeCell ref="B29:D33"/>
    <mergeCell ref="C38:D38"/>
    <mergeCell ref="F73:R73"/>
    <mergeCell ref="D57:G57"/>
    <mergeCell ref="I57:L57"/>
    <mergeCell ref="I52:L52"/>
    <mergeCell ref="K53:L53"/>
    <mergeCell ref="K54:L54"/>
    <mergeCell ref="K56:L56"/>
    <mergeCell ref="K55:L55"/>
    <mergeCell ref="I53:J53"/>
    <mergeCell ref="I54:J54"/>
    <mergeCell ref="I55:J55"/>
    <mergeCell ref="I56:J56"/>
  </mergeCells>
  <conditionalFormatting sqref="C13">
    <cfRule type="cellIs" dxfId="24" priority="30" stopIfTrue="1" operator="equal">
      <formula>"-Choose One-"</formula>
    </cfRule>
    <cfRule type="cellIs" dxfId="23" priority="31" operator="notEqual">
      <formula>"-Choose One-"</formula>
    </cfRule>
  </conditionalFormatting>
  <conditionalFormatting sqref="C14">
    <cfRule type="cellIs" dxfId="22" priority="27" operator="equal">
      <formula>"Does Not Meet Requirements"</formula>
    </cfRule>
    <cfRule type="cellIs" dxfId="21" priority="28" operator="notEqual">
      <formula>"Meets Requirements"</formula>
    </cfRule>
    <cfRule type="cellIs" dxfId="20" priority="29" operator="equal">
      <formula>"Meets Requirements"</formula>
    </cfRule>
  </conditionalFormatting>
  <conditionalFormatting sqref="C12">
    <cfRule type="cellIs" dxfId="19" priority="25" stopIfTrue="1" operator="equal">
      <formula>"-Choose One-"</formula>
    </cfRule>
    <cfRule type="cellIs" dxfId="18" priority="26" operator="notEqual">
      <formula>"-Choose One-"</formula>
    </cfRule>
  </conditionalFormatting>
  <conditionalFormatting sqref="C18">
    <cfRule type="cellIs" dxfId="17" priority="23" operator="equal">
      <formula>"-Choose One-"</formula>
    </cfRule>
    <cfRule type="cellIs" dxfId="16" priority="24" operator="notEqual">
      <formula>"-Chose One-"</formula>
    </cfRule>
  </conditionalFormatting>
  <conditionalFormatting sqref="E37">
    <cfRule type="expression" dxfId="15" priority="13">
      <formula>$B$37="Electric Resistance"</formula>
    </cfRule>
  </conditionalFormatting>
  <conditionalFormatting sqref="B38">
    <cfRule type="expression" dxfId="14" priority="8">
      <formula>$C$18="Electric"</formula>
    </cfRule>
  </conditionalFormatting>
  <conditionalFormatting sqref="C38:D38">
    <cfRule type="expression" dxfId="13" priority="7">
      <formula>$C$18="Electric"</formula>
    </cfRule>
  </conditionalFormatting>
  <conditionalFormatting sqref="B37:D37">
    <cfRule type="expression" dxfId="12" priority="6">
      <formula>$C$18="Gas"</formula>
    </cfRule>
  </conditionalFormatting>
  <conditionalFormatting sqref="B27:D33">
    <cfRule type="expression" dxfId="11" priority="5">
      <formula>$C$13="New Construction"</formula>
    </cfRule>
  </conditionalFormatting>
  <conditionalFormatting sqref="B36:E41">
    <cfRule type="expression" dxfId="10" priority="4">
      <formula>$C$13="New Construction"</formula>
    </cfRule>
  </conditionalFormatting>
  <conditionalFormatting sqref="D53:G57">
    <cfRule type="cellIs" dxfId="9" priority="1" operator="equal">
      <formula>"Incomplete - Required inputs still needed"</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33" id="{00000000-000E-0000-0000-000003000000}">
            <xm:f>'electric calculations'!$B$12="N"</xm:f>
            <x14:dxf>
              <fill>
                <patternFill>
                  <bgColor theme="1"/>
                </patternFill>
              </fill>
            </x14:dxf>
          </x14:cfRule>
          <xm:sqref>E37</xm:sqref>
        </x14:conditionalFormatting>
        <x14:conditionalFormatting xmlns:xm="http://schemas.microsoft.com/office/excel/2006/main">
          <x14:cfRule type="cellIs" priority="21" operator="equal" id="{CE1E9433-7279-4985-9B86-B4D5B421132E}">
            <xm:f>lookups!$B$26</xm:f>
            <x14:dxf>
              <font>
                <strike val="0"/>
                <color theme="5" tint="-0.24994659260841701"/>
              </font>
            </x14:dxf>
          </x14:cfRule>
          <xm:sqref>B20:C20</xm:sqref>
        </x14:conditionalFormatting>
        <x14:conditionalFormatting xmlns:xm="http://schemas.microsoft.com/office/excel/2006/main">
          <x14:cfRule type="expression" priority="34" id="{00000000-000E-0000-0000-000004000000}">
            <xm:f>'electric calculations'!$B$6="N"</xm:f>
            <x14:dxf>
              <fill>
                <patternFill>
                  <bgColor theme="1"/>
                </patternFill>
              </fill>
            </x14:dxf>
          </x14:cfRule>
          <xm:sqref>D28</xm:sqref>
        </x14:conditionalFormatting>
        <x14:conditionalFormatting xmlns:xm="http://schemas.microsoft.com/office/excel/2006/main">
          <x14:cfRule type="expression" priority="35" id="{43808068-D075-4AB3-BE55-E0F436C12172}">
            <xm:f>'electric calculations'!$B$13="N"</xm:f>
            <x14:dxf>
              <fill>
                <patternFill>
                  <bgColor theme="1"/>
                </patternFill>
              </fill>
            </x14:dxf>
          </x14:cfRule>
          <xm:sqref>C65</xm:sqref>
        </x14:conditionalFormatting>
        <x14:conditionalFormatting xmlns:xm="http://schemas.microsoft.com/office/excel/2006/main">
          <x14:cfRule type="expression" priority="36" id="{AA6C84B7-77AB-4344-9315-B98115B376B8}">
            <xm:f>'electric calculations'!$B$14="N"</xm:f>
            <x14:dxf>
              <fill>
                <patternFill>
                  <bgColor theme="1"/>
                </patternFill>
              </fill>
            </x14:dxf>
          </x14:cfRule>
          <xm:sqref>C66</xm:sqref>
        </x14:conditionalFormatting>
        <x14:conditionalFormatting xmlns:xm="http://schemas.microsoft.com/office/excel/2006/main">
          <x14:cfRule type="expression" priority="10" id="{7C891EE6-592B-4C0E-AEB4-69F07841EF5D}">
            <xm:f>'gas calculations'!$B$22="N"</xm:f>
            <x14:dxf>
              <fill>
                <patternFill>
                  <bgColor theme="1"/>
                </patternFill>
              </fill>
            </x14:dxf>
          </x14:cfRule>
          <xm:sqref>E38</xm:sqref>
        </x14:conditionalFormatting>
        <x14:conditionalFormatting xmlns:xm="http://schemas.microsoft.com/office/excel/2006/main">
          <x14:cfRule type="expression" priority="9" id="{542B98FF-2EBC-425E-BDFE-BE23E44F72AB}">
            <xm:f>'gas calculations'!$B$19="N"</xm:f>
            <x14:dxf>
              <fill>
                <patternFill>
                  <bgColor theme="1"/>
                </patternFill>
              </fill>
            </x14:dxf>
          </x14:cfRule>
          <xm:sqref>C67</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r:uid="{67E6A5DB-4C00-4B26-89BF-366FF8FF7635}">
          <x14:formula1>
            <xm:f>lookups!$B$5:$B$8</xm:f>
          </x14:formula1>
          <xm:sqref>C13</xm:sqref>
        </x14:dataValidation>
        <x14:dataValidation type="list" allowBlank="1" showInputMessage="1" showErrorMessage="1" xr:uid="{E476393D-1664-4EA0-A41C-B42F3DDB7D5A}">
          <x14:formula1>
            <xm:f>lookups!$B$10:$B$13</xm:f>
          </x14:formula1>
          <xm:sqref>C14</xm:sqref>
        </x14:dataValidation>
        <x14:dataValidation type="list" allowBlank="1" showInputMessage="1" showErrorMessage="1" xr:uid="{5537CED4-C9D5-4794-92DB-64E0FA6207EF}">
          <x14:formula1>
            <xm:f>lookups!$B$2:$B$3</xm:f>
          </x14:formula1>
          <xm:sqref>C12</xm:sqref>
        </x14:dataValidation>
        <x14:dataValidation type="list" allowBlank="1" showInputMessage="1" showErrorMessage="1" xr:uid="{91DA62FE-9FEE-4EA1-94D9-C27F22E3CAEE}">
          <x14:formula1>
            <xm:f>lookups!$B$15:$B$17</xm:f>
          </x14:formula1>
          <xm:sqref>C18</xm:sqref>
        </x14:dataValidation>
        <x14:dataValidation type="list" allowBlank="1" showInputMessage="1" showErrorMessage="1" xr:uid="{3A8F1D7F-CB62-4D44-8ADE-613624353B44}">
          <x14:formula1>
            <xm:f>lookups!$B$47:$B$52</xm:f>
          </x14:formula1>
          <xm:sqref>C24</xm:sqref>
        </x14:dataValidation>
        <x14:dataValidation type="list" allowBlank="1" showInputMessage="1" showErrorMessage="1" xr:uid="{543D8944-9AEB-477F-AD0E-8165CA46A203}">
          <x14:formula1>
            <xm:f>IF(OR($C$13=lookups!$B$6,$C$13=lookups!$B$7),Tables!$B$14:$B$51,IF($C$13=lookups!$B$8,Tables!$B$56:$B$85,Tables!$B$10))</xm:f>
          </x14:formula1>
          <xm:sqref>C23</xm:sqref>
        </x14:dataValidation>
        <x14:dataValidation type="list" allowBlank="1" showInputMessage="1" showErrorMessage="1" xr:uid="{2ABDA95D-84CC-44EC-A504-77A0DF11A6C8}">
          <x14:formula1>
            <xm:f>lookups!$B$121:$B$125</xm:f>
          </x14:formula1>
          <xm:sqref>B37</xm:sqref>
        </x14:dataValidation>
        <x14:dataValidation type="list" allowBlank="1" showInputMessage="1" showErrorMessage="1" xr:uid="{2CA03520-7883-4351-982F-F58645DDD707}">
          <x14:formula1>
            <xm:f>lookups!$B$162:$B$169</xm:f>
          </x14:formula1>
          <xm:sqref>B38</xm:sqref>
        </x14:dataValidation>
        <x14:dataValidation type="list" allowBlank="1" showInputMessage="1" showErrorMessage="1" xr:uid="{42B0C569-9FA8-4B89-B3BE-7CC521570005}">
          <x14:formula1>
            <xm:f>lookups!$B$172:$B$175</xm:f>
          </x14:formula1>
          <xm:sqref>C38:D38</xm:sqref>
        </x14:dataValidation>
        <x14:dataValidation type="list" allowBlank="1" showInputMessage="1" showErrorMessage="1" xr:uid="{3C4B4114-6919-43A6-87AB-7314E2ED4911}">
          <x14:formula1>
            <xm:f>IF(C13=lookups!B8,lookups!D71,lookups!$B$70:$B$75)</xm:f>
          </x14:formula1>
          <xm:sqref>B28</xm:sqref>
        </x14:dataValidation>
        <x14:dataValidation type="list" allowBlank="1" showInputMessage="1" showErrorMessage="1" xr:uid="{CEA658C9-A96E-41DE-92D2-98D7C4D7BC3A}">
          <x14:formula1>
            <xm:f>IF(C13=lookups!B8,lookups!D71,IF($B$28=lookups!B71,lookups!B78:B80,IF($B$28=lookups!B72,lookups!B83:B87,IF(B28=lookups!B73,lookups!B91:B94,IF($B$28=lookups!B74,lookups!B98:B99,IF($B$28=lookups!B75,lookups!B104:B106,lookups!B68))))))</xm:f>
          </x14:formula1>
          <xm:sqref>C28</xm:sqref>
        </x14:dataValidation>
        <x14:dataValidation type="list" allowBlank="1" showInputMessage="1" showErrorMessage="1" xr:uid="{E14149F0-A6D3-4774-B99F-4E16AE31DB92}">
          <x14:formula1>
            <xm:f>IF(B37=lookups!B121,lookups!D122,IF(B37=lookups!B122,lookups!B129:B134,IF(B37=lookups!B123,lookups!B137:B139,IF(B37=lookups!B124,lookups!B142:B146,IF(B37=lookups!B125,lookups!D125,lookups!D122)))))</xm:f>
          </x14:formula1>
          <xm:sqref>C37:D37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3E7C-42E9-4E9C-B347-F4212A200E79}">
  <dimension ref="A1:M40"/>
  <sheetViews>
    <sheetView workbookViewId="0">
      <selection activeCell="F23" sqref="F23"/>
    </sheetView>
  </sheetViews>
  <sheetFormatPr defaultRowHeight="15" x14ac:dyDescent="0.25"/>
  <cols>
    <col min="2" max="2" width="35.5703125" customWidth="1"/>
    <col min="3" max="3" width="15" bestFit="1" customWidth="1"/>
    <col min="4" max="4" width="13.5703125" bestFit="1" customWidth="1"/>
    <col min="6" max="6" width="117.140625" customWidth="1"/>
  </cols>
  <sheetData>
    <row r="1" spans="1:13" ht="15.75" thickBot="1" x14ac:dyDescent="0.3">
      <c r="A1" s="30"/>
      <c r="B1" s="30"/>
      <c r="C1" s="30"/>
      <c r="D1" s="30"/>
      <c r="E1" s="30"/>
      <c r="F1" s="30"/>
      <c r="G1" s="30"/>
      <c r="H1" s="30"/>
      <c r="I1" s="30"/>
      <c r="J1" s="30"/>
      <c r="K1" s="30"/>
      <c r="L1" s="30"/>
      <c r="M1" s="30"/>
    </row>
    <row r="2" spans="1:13" x14ac:dyDescent="0.25">
      <c r="A2" s="30"/>
      <c r="B2" s="213" t="s">
        <v>310</v>
      </c>
      <c r="C2" s="300"/>
      <c r="D2" s="78" t="s">
        <v>0</v>
      </c>
      <c r="E2" s="30"/>
      <c r="F2" s="30"/>
      <c r="G2" s="30"/>
      <c r="H2" s="30"/>
      <c r="I2" s="30"/>
      <c r="J2" s="30"/>
      <c r="K2" s="30"/>
      <c r="L2" s="30"/>
      <c r="M2" s="30"/>
    </row>
    <row r="3" spans="1:13" x14ac:dyDescent="0.25">
      <c r="A3" s="30"/>
      <c r="B3" s="79" t="str">
        <f>'electric calculations'!C116</f>
        <v>Incomplete</v>
      </c>
      <c r="C3" s="85" t="str">
        <f>'electric calculations'!B116</f>
        <v>Incomplete</v>
      </c>
      <c r="D3" s="80" t="str">
        <f>'electric calculations'!D116</f>
        <v>Incomplete</v>
      </c>
      <c r="E3" s="30"/>
      <c r="F3" s="30"/>
      <c r="G3" s="30"/>
      <c r="H3" s="30"/>
      <c r="I3" s="30"/>
      <c r="J3" s="30"/>
      <c r="K3" s="30"/>
      <c r="L3" s="30"/>
      <c r="M3" s="30"/>
    </row>
    <row r="4" spans="1:13" x14ac:dyDescent="0.25">
      <c r="A4" s="30"/>
      <c r="B4" s="79" t="str">
        <f>'electric calculations'!C117</f>
        <v>Incomplete</v>
      </c>
      <c r="C4" s="85" t="str">
        <f>'electric calculations'!B117</f>
        <v>Incomplete</v>
      </c>
      <c r="D4" s="80" t="str">
        <f>'electric calculations'!D117</f>
        <v>Incomplete</v>
      </c>
      <c r="E4" s="30"/>
      <c r="F4" s="30"/>
      <c r="G4" s="30"/>
      <c r="H4" s="30"/>
      <c r="I4" s="30"/>
      <c r="J4" s="30"/>
      <c r="K4" s="30"/>
      <c r="L4" s="30"/>
      <c r="M4" s="30"/>
    </row>
    <row r="5" spans="1:13" ht="15.75" thickBot="1" x14ac:dyDescent="0.3">
      <c r="A5" s="30"/>
      <c r="B5" s="81" t="str">
        <f>'electric calculations'!C118</f>
        <v>Incomplete</v>
      </c>
      <c r="C5" s="90" t="str">
        <f>'electric calculations'!B118</f>
        <v>Incomplete</v>
      </c>
      <c r="D5" s="82" t="str">
        <f>'electric calculations'!D118</f>
        <v>Incomplete</v>
      </c>
      <c r="E5" s="30"/>
      <c r="F5" s="30"/>
      <c r="G5" s="30"/>
      <c r="H5" s="30"/>
      <c r="I5" s="30"/>
      <c r="J5" s="30"/>
      <c r="K5" s="30"/>
      <c r="L5" s="30"/>
      <c r="M5" s="30"/>
    </row>
    <row r="6" spans="1:13" ht="15.75" thickBot="1" x14ac:dyDescent="0.3">
      <c r="A6" s="30"/>
      <c r="B6" s="91" t="s">
        <v>298</v>
      </c>
      <c r="C6" s="92" t="str">
        <f>'electric calculations'!B119</f>
        <v>Incomplete</v>
      </c>
      <c r="D6" s="93" t="str">
        <f>'electric calculations'!D119</f>
        <v>Incomplete</v>
      </c>
      <c r="E6" s="30"/>
      <c r="F6" s="30"/>
      <c r="G6" s="30"/>
      <c r="H6" s="30"/>
      <c r="I6" s="30"/>
      <c r="J6" s="30"/>
      <c r="K6" s="30"/>
      <c r="L6" s="30"/>
      <c r="M6" s="30"/>
    </row>
    <row r="7" spans="1:13" x14ac:dyDescent="0.25">
      <c r="A7" s="30"/>
      <c r="B7" s="213" t="s">
        <v>311</v>
      </c>
      <c r="C7" s="300"/>
      <c r="D7" s="83" t="s">
        <v>0</v>
      </c>
      <c r="E7" s="30"/>
      <c r="F7" s="30"/>
      <c r="G7" s="30"/>
      <c r="H7" s="30"/>
      <c r="I7" s="30"/>
      <c r="J7" s="30"/>
      <c r="K7" s="30"/>
      <c r="L7" s="30"/>
      <c r="M7" s="30"/>
    </row>
    <row r="8" spans="1:13" x14ac:dyDescent="0.25">
      <c r="A8" s="30"/>
      <c r="B8" s="79" t="str">
        <f>'electric calculations'!C121</f>
        <v>Incomplete</v>
      </c>
      <c r="C8" s="85" t="str">
        <f>'electric calculations'!B121</f>
        <v>Incomplete</v>
      </c>
      <c r="D8" s="80" t="str">
        <f>'electric calculations'!D121</f>
        <v>Incomplete</v>
      </c>
      <c r="E8" s="30"/>
      <c r="F8" s="30"/>
      <c r="G8" s="30"/>
      <c r="H8" s="30"/>
      <c r="I8" s="30"/>
      <c r="J8" s="30"/>
      <c r="K8" s="30"/>
      <c r="L8" s="30"/>
      <c r="M8" s="30"/>
    </row>
    <row r="9" spans="1:13" x14ac:dyDescent="0.25">
      <c r="A9" s="30"/>
      <c r="B9" s="79" t="str">
        <f>'electric calculations'!C122</f>
        <v>Incomplete</v>
      </c>
      <c r="C9" s="85" t="str">
        <f>'electric calculations'!B122</f>
        <v>Incomplete</v>
      </c>
      <c r="D9" s="80" t="str">
        <f>'electric calculations'!D122</f>
        <v>Incomplete</v>
      </c>
      <c r="E9" s="30"/>
      <c r="F9" s="30"/>
      <c r="G9" s="30"/>
      <c r="H9" s="30"/>
      <c r="I9" s="30"/>
      <c r="J9" s="30"/>
      <c r="K9" s="30"/>
      <c r="L9" s="30"/>
      <c r="M9" s="30"/>
    </row>
    <row r="10" spans="1:13" ht="15.75" thickBot="1" x14ac:dyDescent="0.3">
      <c r="A10" s="30"/>
      <c r="B10" s="81" t="str">
        <f>'electric calculations'!C123</f>
        <v>Incomplete</v>
      </c>
      <c r="C10" s="90" t="str">
        <f>'electric calculations'!B123</f>
        <v>Incomplete</v>
      </c>
      <c r="D10" s="82" t="str">
        <f>'electric calculations'!D123</f>
        <v>Incomplete</v>
      </c>
      <c r="E10" s="30"/>
      <c r="F10" s="30"/>
      <c r="G10" s="30"/>
      <c r="H10" s="30"/>
      <c r="I10" s="30"/>
      <c r="J10" s="30"/>
      <c r="K10" s="30"/>
      <c r="L10" s="30"/>
      <c r="M10" s="30"/>
    </row>
    <row r="11" spans="1:13" ht="15.75" thickBot="1" x14ac:dyDescent="0.3">
      <c r="A11" s="30"/>
      <c r="B11" s="91" t="s">
        <v>298</v>
      </c>
      <c r="C11" s="92" t="str">
        <f>'electric calculations'!B124</f>
        <v>Incomplete</v>
      </c>
      <c r="D11" s="93" t="str">
        <f>'electric calculations'!D124</f>
        <v>Incomplete</v>
      </c>
      <c r="E11" s="30"/>
      <c r="F11" s="30"/>
      <c r="G11" s="30"/>
      <c r="H11" s="30"/>
      <c r="I11" s="30"/>
      <c r="J11" s="30"/>
      <c r="K11" s="30"/>
      <c r="L11" s="30"/>
      <c r="M11" s="30"/>
    </row>
    <row r="12" spans="1:13" x14ac:dyDescent="0.25">
      <c r="A12" s="30"/>
      <c r="B12" s="30"/>
      <c r="C12" s="30"/>
      <c r="D12" s="30"/>
      <c r="E12" s="30"/>
      <c r="F12" s="30"/>
      <c r="G12" s="30"/>
      <c r="H12" s="30"/>
      <c r="I12" s="30"/>
      <c r="J12" s="30"/>
      <c r="K12" s="30"/>
      <c r="L12" s="30"/>
      <c r="M12" s="30"/>
    </row>
    <row r="13" spans="1:13" ht="15.75" thickBot="1" x14ac:dyDescent="0.3">
      <c r="A13" s="30"/>
      <c r="B13" s="30"/>
      <c r="C13" s="30"/>
      <c r="D13" s="30"/>
      <c r="E13" s="30"/>
      <c r="F13" s="30"/>
      <c r="G13" s="30"/>
      <c r="H13" s="30"/>
      <c r="I13" s="30"/>
      <c r="J13" s="30"/>
      <c r="K13" s="30"/>
      <c r="L13" s="30"/>
      <c r="M13" s="30"/>
    </row>
    <row r="14" spans="1:13" x14ac:dyDescent="0.25">
      <c r="A14" s="30"/>
      <c r="B14" s="213" t="s">
        <v>424</v>
      </c>
      <c r="C14" s="300"/>
      <c r="D14" s="113" t="s">
        <v>0</v>
      </c>
      <c r="E14" s="30"/>
      <c r="F14" s="30"/>
      <c r="G14" s="30"/>
      <c r="H14" s="30"/>
      <c r="I14" s="30"/>
      <c r="J14" s="30"/>
      <c r="K14" s="30"/>
      <c r="L14" s="30"/>
      <c r="M14" s="30"/>
    </row>
    <row r="15" spans="1:13" x14ac:dyDescent="0.25">
      <c r="A15" s="30"/>
      <c r="B15" s="79" t="str">
        <f>'gas calculations'!C93</f>
        <v>Incomplete</v>
      </c>
      <c r="C15" s="85" t="str">
        <f>'gas calculations'!B93</f>
        <v>Incomplete</v>
      </c>
      <c r="D15" s="80" t="str">
        <f>'gas calculations'!D93</f>
        <v>Incomplete</v>
      </c>
      <c r="E15" s="30"/>
      <c r="F15" s="30"/>
      <c r="G15" s="30"/>
      <c r="H15" s="30"/>
      <c r="I15" s="30"/>
      <c r="J15" s="30"/>
      <c r="K15" s="30"/>
      <c r="L15" s="30"/>
      <c r="M15" s="30"/>
    </row>
    <row r="16" spans="1:13" ht="15.75" thickBot="1" x14ac:dyDescent="0.3">
      <c r="A16" s="30"/>
      <c r="B16" s="79" t="str">
        <f>'gas calculations'!C94</f>
        <v>Incomplete</v>
      </c>
      <c r="C16" s="85" t="str">
        <f>'gas calculations'!B94</f>
        <v>Incomplete</v>
      </c>
      <c r="D16" s="80" t="str">
        <f>'gas calculations'!D94</f>
        <v>Incomplete</v>
      </c>
      <c r="E16" s="30"/>
      <c r="F16" s="30"/>
      <c r="G16" s="30"/>
      <c r="H16" s="30"/>
      <c r="I16" s="30"/>
      <c r="J16" s="30"/>
      <c r="K16" s="30"/>
      <c r="L16" s="30"/>
      <c r="M16" s="30"/>
    </row>
    <row r="17" spans="1:13" ht="15.75" thickBot="1" x14ac:dyDescent="0.3">
      <c r="A17" s="30"/>
      <c r="B17" s="91" t="s">
        <v>426</v>
      </c>
      <c r="C17" s="92" t="str">
        <f>'gas calculations'!B95</f>
        <v>Incomplete</v>
      </c>
      <c r="D17" s="93" t="str">
        <f>'gas calculations'!D95</f>
        <v>Incomplete</v>
      </c>
      <c r="E17" s="30"/>
      <c r="F17" s="30"/>
      <c r="G17" s="30"/>
      <c r="H17" s="30"/>
      <c r="I17" s="30"/>
      <c r="J17" s="30"/>
      <c r="K17" s="30"/>
      <c r="L17" s="30"/>
      <c r="M17" s="30"/>
    </row>
    <row r="18" spans="1:13" x14ac:dyDescent="0.25">
      <c r="A18" s="30"/>
      <c r="B18" s="213" t="s">
        <v>425</v>
      </c>
      <c r="C18" s="300"/>
      <c r="D18" s="83" t="s">
        <v>0</v>
      </c>
      <c r="E18" s="30"/>
      <c r="F18" s="30"/>
      <c r="G18" s="30"/>
      <c r="H18" s="30"/>
      <c r="I18" s="30"/>
      <c r="J18" s="30"/>
      <c r="K18" s="30"/>
      <c r="L18" s="30"/>
      <c r="M18" s="30"/>
    </row>
    <row r="19" spans="1:13" x14ac:dyDescent="0.25">
      <c r="A19" s="30"/>
      <c r="B19" s="79" t="str">
        <f>'gas calculations'!C97</f>
        <v>Incomplete</v>
      </c>
      <c r="C19" s="85" t="str">
        <f>'gas calculations'!B97</f>
        <v>Incomplete</v>
      </c>
      <c r="D19" s="80" t="str">
        <f>'gas calculations'!D97</f>
        <v>Incomplete</v>
      </c>
      <c r="E19" s="30"/>
      <c r="F19" s="30"/>
      <c r="G19" s="30"/>
      <c r="H19" s="30"/>
      <c r="I19" s="30"/>
      <c r="J19" s="30"/>
      <c r="K19" s="30"/>
      <c r="L19" s="30"/>
      <c r="M19" s="30"/>
    </row>
    <row r="20" spans="1:13" ht="15.75" thickBot="1" x14ac:dyDescent="0.3">
      <c r="A20" s="30"/>
      <c r="B20" s="79" t="str">
        <f>'gas calculations'!C98</f>
        <v>Incomplete</v>
      </c>
      <c r="C20" s="85" t="str">
        <f>'gas calculations'!B98</f>
        <v>Incomplete</v>
      </c>
      <c r="D20" s="80" t="str">
        <f>'gas calculations'!D98</f>
        <v>Incomplete</v>
      </c>
      <c r="E20" s="30"/>
      <c r="F20" s="30"/>
      <c r="G20" s="30"/>
      <c r="H20" s="30"/>
      <c r="I20" s="30"/>
      <c r="J20" s="30"/>
      <c r="K20" s="30"/>
      <c r="L20" s="30"/>
      <c r="M20" s="30"/>
    </row>
    <row r="21" spans="1:13" ht="15.75" thickBot="1" x14ac:dyDescent="0.3">
      <c r="A21" s="30"/>
      <c r="B21" s="91" t="s">
        <v>426</v>
      </c>
      <c r="C21" s="92" t="str">
        <f>'gas calculations'!B99</f>
        <v>Incomplete</v>
      </c>
      <c r="D21" s="93" t="str">
        <f>'gas calculations'!D99</f>
        <v>Incomplete</v>
      </c>
      <c r="E21" s="30"/>
      <c r="F21" s="30"/>
      <c r="G21" s="30"/>
      <c r="H21" s="30"/>
      <c r="I21" s="30"/>
      <c r="J21" s="30"/>
      <c r="K21" s="30"/>
      <c r="L21" s="30"/>
      <c r="M21" s="30"/>
    </row>
    <row r="22" spans="1:13" x14ac:dyDescent="0.25">
      <c r="A22" s="30"/>
      <c r="B22" s="30"/>
      <c r="C22" s="30"/>
      <c r="D22" s="30"/>
      <c r="E22" s="30"/>
      <c r="F22" s="30"/>
      <c r="G22" s="30"/>
      <c r="H22" s="30"/>
      <c r="I22" s="30"/>
      <c r="J22" s="30"/>
      <c r="K22" s="30"/>
      <c r="L22" s="30"/>
      <c r="M22" s="30"/>
    </row>
    <row r="23" spans="1:13" ht="150" customHeight="1" x14ac:dyDescent="0.25">
      <c r="A23" s="30"/>
      <c r="B23" s="30"/>
      <c r="C23" s="30"/>
      <c r="D23" s="30"/>
      <c r="E23" s="30"/>
      <c r="F23" s="30"/>
      <c r="G23" s="30"/>
      <c r="H23" s="30"/>
      <c r="I23" s="30"/>
      <c r="J23" s="30"/>
      <c r="K23" s="30"/>
      <c r="L23" s="30"/>
      <c r="M23" s="30"/>
    </row>
    <row r="24" spans="1:13" x14ac:dyDescent="0.25">
      <c r="A24" s="30"/>
      <c r="B24" s="30"/>
      <c r="C24" s="30"/>
      <c r="D24" s="30"/>
      <c r="E24" s="30"/>
      <c r="F24" s="30"/>
      <c r="G24" s="30"/>
      <c r="H24" s="30"/>
      <c r="I24" s="30"/>
      <c r="J24" s="30"/>
      <c r="K24" s="30"/>
      <c r="L24" s="30"/>
      <c r="M24" s="30"/>
    </row>
    <row r="25" spans="1:13" x14ac:dyDescent="0.25">
      <c r="A25" s="30"/>
      <c r="B25" s="30"/>
      <c r="C25" s="30"/>
      <c r="D25" s="30"/>
      <c r="E25" s="30"/>
      <c r="F25" s="30"/>
      <c r="G25" s="30"/>
      <c r="H25" s="30"/>
      <c r="I25" s="30"/>
      <c r="J25" s="30"/>
      <c r="K25" s="30"/>
      <c r="L25" s="30"/>
      <c r="M25" s="30"/>
    </row>
    <row r="26" spans="1:13" x14ac:dyDescent="0.25">
      <c r="A26" s="30"/>
      <c r="B26" s="30"/>
      <c r="C26" s="30"/>
      <c r="D26" s="30"/>
      <c r="E26" s="30"/>
      <c r="F26" s="30"/>
      <c r="G26" s="30"/>
      <c r="H26" s="30"/>
      <c r="I26" s="30"/>
      <c r="J26" s="30"/>
      <c r="K26" s="30"/>
      <c r="L26" s="30"/>
      <c r="M26" s="30"/>
    </row>
    <row r="27" spans="1:13" x14ac:dyDescent="0.25">
      <c r="A27" s="30"/>
      <c r="B27" s="30"/>
      <c r="C27" s="30"/>
      <c r="D27" s="30"/>
      <c r="E27" s="30"/>
      <c r="F27" s="30"/>
      <c r="G27" s="30"/>
      <c r="H27" s="30"/>
      <c r="I27" s="30"/>
      <c r="J27" s="30"/>
      <c r="K27" s="30"/>
      <c r="L27" s="30"/>
      <c r="M27" s="30"/>
    </row>
    <row r="28" spans="1:13" x14ac:dyDescent="0.25">
      <c r="A28" s="30"/>
      <c r="B28" s="30"/>
      <c r="C28" s="30"/>
      <c r="D28" s="30"/>
      <c r="E28" s="30"/>
      <c r="F28" s="30"/>
      <c r="G28" s="30"/>
      <c r="H28" s="30"/>
      <c r="I28" s="30"/>
      <c r="J28" s="30"/>
      <c r="K28" s="30"/>
      <c r="L28" s="30"/>
      <c r="M28" s="30"/>
    </row>
    <row r="29" spans="1:13" x14ac:dyDescent="0.25">
      <c r="A29" s="30"/>
      <c r="B29" s="30"/>
      <c r="C29" s="30"/>
      <c r="D29" s="30"/>
      <c r="E29" s="30"/>
      <c r="F29" s="30"/>
      <c r="G29" s="30"/>
      <c r="H29" s="30"/>
      <c r="I29" s="30"/>
      <c r="J29" s="30"/>
      <c r="K29" s="30"/>
      <c r="L29" s="30"/>
      <c r="M29" s="30"/>
    </row>
    <row r="30" spans="1:13" x14ac:dyDescent="0.25">
      <c r="A30" s="30"/>
      <c r="B30" s="30"/>
      <c r="C30" s="30"/>
      <c r="D30" s="30"/>
      <c r="E30" s="30"/>
      <c r="F30" s="30"/>
      <c r="G30" s="30"/>
      <c r="H30" s="30"/>
      <c r="I30" s="30"/>
      <c r="J30" s="30"/>
      <c r="K30" s="30"/>
      <c r="L30" s="30"/>
      <c r="M30" s="30"/>
    </row>
    <row r="31" spans="1:13" x14ac:dyDescent="0.25">
      <c r="A31" s="30"/>
      <c r="B31" s="30"/>
      <c r="C31" s="30"/>
      <c r="D31" s="30"/>
      <c r="E31" s="30"/>
      <c r="F31" s="30"/>
      <c r="G31" s="30"/>
      <c r="H31" s="30"/>
      <c r="I31" s="30"/>
      <c r="J31" s="30"/>
      <c r="K31" s="30"/>
      <c r="L31" s="30"/>
      <c r="M31" s="30"/>
    </row>
    <row r="32" spans="1:13" x14ac:dyDescent="0.25">
      <c r="A32" s="30"/>
      <c r="B32" s="30"/>
      <c r="C32" s="30"/>
      <c r="D32" s="30"/>
      <c r="E32" s="30"/>
      <c r="F32" s="30"/>
      <c r="G32" s="30"/>
      <c r="H32" s="30"/>
      <c r="I32" s="30"/>
      <c r="J32" s="30"/>
      <c r="K32" s="30"/>
      <c r="L32" s="30"/>
      <c r="M32" s="30"/>
    </row>
    <row r="33" spans="1:13" x14ac:dyDescent="0.25">
      <c r="A33" s="30"/>
      <c r="B33" s="30"/>
      <c r="C33" s="30"/>
      <c r="D33" s="30"/>
      <c r="E33" s="30"/>
      <c r="F33" s="30"/>
      <c r="G33" s="30"/>
      <c r="H33" s="30"/>
      <c r="I33" s="30"/>
      <c r="J33" s="30"/>
      <c r="K33" s="30"/>
      <c r="L33" s="30"/>
      <c r="M33" s="30"/>
    </row>
    <row r="34" spans="1:13" x14ac:dyDescent="0.25">
      <c r="A34" s="30"/>
      <c r="B34" s="30"/>
      <c r="C34" s="30"/>
      <c r="D34" s="30"/>
      <c r="E34" s="30"/>
      <c r="F34" s="30"/>
      <c r="G34" s="30"/>
      <c r="H34" s="30"/>
      <c r="I34" s="30"/>
      <c r="J34" s="30"/>
      <c r="K34" s="30"/>
      <c r="L34" s="30"/>
      <c r="M34" s="30"/>
    </row>
    <row r="35" spans="1:13" x14ac:dyDescent="0.25">
      <c r="A35" s="30"/>
      <c r="B35" s="30"/>
      <c r="C35" s="30"/>
      <c r="D35" s="30"/>
      <c r="E35" s="30"/>
      <c r="F35" s="30"/>
      <c r="G35" s="30"/>
      <c r="H35" s="30"/>
      <c r="I35" s="30"/>
      <c r="J35" s="30"/>
      <c r="K35" s="30"/>
      <c r="L35" s="30"/>
      <c r="M35" s="30"/>
    </row>
    <row r="36" spans="1:13" x14ac:dyDescent="0.25">
      <c r="A36" s="30"/>
      <c r="B36" s="30"/>
      <c r="C36" s="30"/>
      <c r="D36" s="30"/>
      <c r="E36" s="30"/>
      <c r="F36" s="30"/>
      <c r="G36" s="30"/>
      <c r="H36" s="30"/>
      <c r="I36" s="30"/>
      <c r="J36" s="30"/>
      <c r="K36" s="30"/>
      <c r="L36" s="30"/>
      <c r="M36" s="30"/>
    </row>
    <row r="37" spans="1:13" x14ac:dyDescent="0.25">
      <c r="A37" s="30"/>
      <c r="B37" s="30"/>
      <c r="C37" s="30"/>
      <c r="D37" s="30"/>
      <c r="E37" s="30"/>
      <c r="F37" s="30"/>
      <c r="G37" s="30"/>
      <c r="H37" s="30"/>
      <c r="I37" s="30"/>
      <c r="J37" s="30"/>
      <c r="K37" s="30"/>
      <c r="L37" s="30"/>
      <c r="M37" s="30"/>
    </row>
    <row r="38" spans="1:13" x14ac:dyDescent="0.25">
      <c r="A38" s="30"/>
      <c r="B38" s="30"/>
      <c r="C38" s="30"/>
      <c r="D38" s="30"/>
      <c r="E38" s="30"/>
      <c r="F38" s="30"/>
      <c r="G38" s="30"/>
      <c r="H38" s="30"/>
      <c r="I38" s="30"/>
      <c r="J38" s="30"/>
      <c r="K38" s="30"/>
      <c r="L38" s="30"/>
      <c r="M38" s="30"/>
    </row>
    <row r="39" spans="1:13" x14ac:dyDescent="0.25">
      <c r="A39" s="30"/>
      <c r="B39" s="30"/>
      <c r="C39" s="30"/>
      <c r="D39" s="30"/>
      <c r="E39" s="30"/>
      <c r="F39" s="30"/>
      <c r="G39" s="30"/>
      <c r="H39" s="30"/>
      <c r="I39" s="30"/>
      <c r="J39" s="30"/>
      <c r="K39" s="30"/>
      <c r="L39" s="30"/>
      <c r="M39" s="30"/>
    </row>
    <row r="40" spans="1:13" x14ac:dyDescent="0.25">
      <c r="B40" s="30"/>
      <c r="C40" s="30"/>
      <c r="D40" s="30"/>
      <c r="E40" s="30"/>
      <c r="F40" s="30"/>
      <c r="G40" s="30"/>
      <c r="H40" s="30"/>
      <c r="I40" s="30"/>
      <c r="J40" s="30"/>
      <c r="K40" s="30"/>
      <c r="L40" s="30"/>
      <c r="M40" s="30"/>
    </row>
  </sheetData>
  <sheetProtection algorithmName="SHA-512" hashValue="xDkCTUrRRuCGoezxgE4mMxVX2ZsITA3pZl0UAqcK8DBn9h8UvULAVrvd6P4e/r3MO52BoyGAwZSPoKwmy354RA==" saltValue="YTH1FXiUcuRe7MwRJwKMQA==" spinCount="100000" sheet="1" objects="1" scenarios="1" selectLockedCells="1" selectUnlockedCells="1"/>
  <mergeCells count="4">
    <mergeCell ref="B2:C2"/>
    <mergeCell ref="B7:C7"/>
    <mergeCell ref="B14:C14"/>
    <mergeCell ref="B18:C18"/>
  </mergeCells>
  <conditionalFormatting sqref="D8:D10 C19:D20">
    <cfRule type="cellIs" dxfId="1" priority="5" operator="equal">
      <formula>"Not Applicable"</formula>
    </cfRule>
  </conditionalFormatting>
  <conditionalFormatting sqref="C8:C10">
    <cfRule type="cellIs" dxfId="0" priority="4" operator="equal">
      <formula>"Not Applicable"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5BFDB-680F-48E0-A449-47E69FB2EE7D}">
  <dimension ref="B2:S210"/>
  <sheetViews>
    <sheetView workbookViewId="0">
      <selection activeCell="B211" sqref="B211"/>
    </sheetView>
  </sheetViews>
  <sheetFormatPr defaultRowHeight="15" x14ac:dyDescent="0.25"/>
  <cols>
    <col min="2" max="2" width="33" bestFit="1" customWidth="1"/>
    <col min="3" max="3" width="9.5703125" bestFit="1" customWidth="1"/>
    <col min="7" max="7" width="17" customWidth="1"/>
    <col min="8" max="8" width="18" customWidth="1"/>
  </cols>
  <sheetData>
    <row r="2" spans="2:8" x14ac:dyDescent="0.25">
      <c r="B2" s="4" t="s">
        <v>46</v>
      </c>
    </row>
    <row r="3" spans="2:8" x14ac:dyDescent="0.25">
      <c r="B3" s="5" t="s">
        <v>352</v>
      </c>
      <c r="C3" s="3" t="s">
        <v>435</v>
      </c>
    </row>
    <row r="4" spans="2:8" x14ac:dyDescent="0.25">
      <c r="B4" s="13"/>
    </row>
    <row r="5" spans="2:8" x14ac:dyDescent="0.25">
      <c r="B5" s="4" t="s">
        <v>46</v>
      </c>
      <c r="D5" s="323" t="s">
        <v>155</v>
      </c>
      <c r="E5" s="323"/>
      <c r="F5" s="323"/>
      <c r="G5" s="323"/>
      <c r="H5" s="323"/>
    </row>
    <row r="6" spans="2:8" x14ac:dyDescent="0.25">
      <c r="B6" s="10" t="s">
        <v>27</v>
      </c>
      <c r="D6" s="8" t="s">
        <v>29</v>
      </c>
      <c r="E6" s="8" t="s">
        <v>37</v>
      </c>
      <c r="F6" s="8" t="s">
        <v>40</v>
      </c>
      <c r="G6" s="8" t="s">
        <v>45</v>
      </c>
      <c r="H6" s="8" t="s">
        <v>45</v>
      </c>
    </row>
    <row r="7" spans="2:8" x14ac:dyDescent="0.25">
      <c r="B7" s="10" t="s">
        <v>28</v>
      </c>
      <c r="D7" s="8" t="s">
        <v>27</v>
      </c>
      <c r="E7" s="8" t="s">
        <v>38</v>
      </c>
      <c r="F7" s="8" t="s">
        <v>41</v>
      </c>
      <c r="G7" s="8" t="s">
        <v>39</v>
      </c>
      <c r="H7" s="8" t="s">
        <v>45</v>
      </c>
    </row>
    <row r="8" spans="2:8" x14ac:dyDescent="0.25">
      <c r="B8" s="5" t="s">
        <v>29</v>
      </c>
      <c r="D8" s="8" t="s">
        <v>28</v>
      </c>
      <c r="E8" s="8" t="s">
        <v>43</v>
      </c>
      <c r="F8" s="8" t="s">
        <v>30</v>
      </c>
      <c r="G8" s="25" t="s">
        <v>42</v>
      </c>
      <c r="H8" s="25" t="s">
        <v>44</v>
      </c>
    </row>
    <row r="9" spans="2:8" x14ac:dyDescent="0.25">
      <c r="B9" s="13"/>
      <c r="D9" s="26" t="s">
        <v>46</v>
      </c>
      <c r="E9" s="8" t="s">
        <v>47</v>
      </c>
      <c r="F9" s="8" t="s">
        <v>47</v>
      </c>
      <c r="G9" s="8" t="s">
        <v>47</v>
      </c>
      <c r="H9" s="8" t="s">
        <v>47</v>
      </c>
    </row>
    <row r="10" spans="2:8" x14ac:dyDescent="0.25">
      <c r="B10" s="4" t="s">
        <v>46</v>
      </c>
    </row>
    <row r="11" spans="2:8" x14ac:dyDescent="0.25">
      <c r="B11" s="10" t="s">
        <v>34</v>
      </c>
    </row>
    <row r="12" spans="2:8" x14ac:dyDescent="0.25">
      <c r="B12" s="10" t="s">
        <v>35</v>
      </c>
    </row>
    <row r="13" spans="2:8" x14ac:dyDescent="0.25">
      <c r="B13" s="5" t="s">
        <v>36</v>
      </c>
    </row>
    <row r="14" spans="2:8" x14ac:dyDescent="0.25">
      <c r="B14" s="13"/>
    </row>
    <row r="15" spans="2:8" x14ac:dyDescent="0.25">
      <c r="B15" s="4" t="str">
        <f>IF(Inputs!C13=B8,"N/A - no existing","-Choose One-")</f>
        <v>-Choose One-</v>
      </c>
    </row>
    <row r="16" spans="2:8" x14ac:dyDescent="0.25">
      <c r="B16" s="6" t="str">
        <f>IF(Inputs!C13=B8,"N/A - no existing","Gas")</f>
        <v>Gas</v>
      </c>
    </row>
    <row r="17" spans="2:4" x14ac:dyDescent="0.25">
      <c r="B17" s="7" t="str">
        <f>IF(Inputs!C13=B8,"N/A - no existing","Electric")</f>
        <v>Electric</v>
      </c>
    </row>
    <row r="19" spans="2:4" x14ac:dyDescent="0.25">
      <c r="B19" s="8" t="s">
        <v>59</v>
      </c>
    </row>
    <row r="20" spans="2:4" x14ac:dyDescent="0.25">
      <c r="B20" s="9" t="s">
        <v>52</v>
      </c>
      <c r="D20" t="s">
        <v>31</v>
      </c>
    </row>
    <row r="21" spans="2:4" x14ac:dyDescent="0.25">
      <c r="B21" s="10" t="s">
        <v>53</v>
      </c>
      <c r="D21" t="s">
        <v>32</v>
      </c>
    </row>
    <row r="22" spans="2:4" x14ac:dyDescent="0.25">
      <c r="B22" s="10" t="s">
        <v>54</v>
      </c>
      <c r="D22" t="s">
        <v>33</v>
      </c>
    </row>
    <row r="23" spans="2:4" x14ac:dyDescent="0.25">
      <c r="B23" s="10" t="s">
        <v>55</v>
      </c>
    </row>
    <row r="24" spans="2:4" x14ac:dyDescent="0.25">
      <c r="B24" s="11" t="s">
        <v>56</v>
      </c>
      <c r="C24" s="3" t="s">
        <v>434</v>
      </c>
    </row>
    <row r="25" spans="2:4" x14ac:dyDescent="0.25">
      <c r="B25" s="14" t="s">
        <v>57</v>
      </c>
    </row>
    <row r="26" spans="2:4" x14ac:dyDescent="0.25">
      <c r="B26" s="7" t="s">
        <v>63</v>
      </c>
    </row>
    <row r="28" spans="2:4" x14ac:dyDescent="0.25">
      <c r="B28" s="9" t="s">
        <v>60</v>
      </c>
    </row>
    <row r="29" spans="2:4" x14ac:dyDescent="0.25">
      <c r="B29" s="5" t="str">
        <f>IF(AND(Inputs!C13=lookups!B6,Inputs!C18=lookups!B16),lookups!B25,IF(AND(Inputs!C13=lookups!B6,Inputs!C18=lookups!B17),lookups!B21,IF(AND(Inputs!C13=lookups!B7,Inputs!C18=lookups!B16),lookups!B23,IF(AND(Inputs!C13=lookups!B7,Inputs!C18=lookups!B17),lookups!B22,IF(Inputs!C13=lookups!B8,lookups!B20,B26)))))</f>
        <v>Inputs Incomplete</v>
      </c>
    </row>
    <row r="31" spans="2:4" x14ac:dyDescent="0.25">
      <c r="B31" s="9" t="s">
        <v>67</v>
      </c>
    </row>
    <row r="32" spans="2:4" x14ac:dyDescent="0.25">
      <c r="B32" s="9" t="s">
        <v>52</v>
      </c>
    </row>
    <row r="33" spans="2:3" x14ac:dyDescent="0.25">
      <c r="B33" s="10" t="s">
        <v>53</v>
      </c>
    </row>
    <row r="34" spans="2:3" x14ac:dyDescent="0.25">
      <c r="B34" s="10" t="s">
        <v>54</v>
      </c>
    </row>
    <row r="35" spans="2:3" x14ac:dyDescent="0.25">
      <c r="B35" s="10" t="s">
        <v>55</v>
      </c>
    </row>
    <row r="36" spans="2:3" x14ac:dyDescent="0.25">
      <c r="B36" s="14" t="s">
        <v>56</v>
      </c>
    </row>
    <row r="37" spans="2:3" x14ac:dyDescent="0.25">
      <c r="B37" s="12" t="s">
        <v>57</v>
      </c>
    </row>
    <row r="39" spans="2:3" x14ac:dyDescent="0.25">
      <c r="B39" s="9" t="s">
        <v>68</v>
      </c>
    </row>
    <row r="40" spans="2:3" x14ac:dyDescent="0.25">
      <c r="B40" s="9" t="s">
        <v>52</v>
      </c>
    </row>
    <row r="41" spans="2:3" x14ac:dyDescent="0.25">
      <c r="B41" s="10" t="s">
        <v>53</v>
      </c>
    </row>
    <row r="42" spans="2:3" x14ac:dyDescent="0.25">
      <c r="B42" s="10" t="s">
        <v>54</v>
      </c>
    </row>
    <row r="43" spans="2:3" x14ac:dyDescent="0.25">
      <c r="B43" s="10" t="s">
        <v>55</v>
      </c>
    </row>
    <row r="44" spans="2:3" x14ac:dyDescent="0.25">
      <c r="B44" s="14" t="s">
        <v>56</v>
      </c>
    </row>
    <row r="45" spans="2:3" x14ac:dyDescent="0.25">
      <c r="B45" s="12" t="s">
        <v>57</v>
      </c>
    </row>
    <row r="47" spans="2:3" x14ac:dyDescent="0.25">
      <c r="B47" s="26" t="s">
        <v>432</v>
      </c>
      <c r="C47" t="s">
        <v>178</v>
      </c>
    </row>
    <row r="48" spans="2:3" x14ac:dyDescent="0.25">
      <c r="B48" s="10" t="s">
        <v>93</v>
      </c>
      <c r="C48" s="9">
        <v>1</v>
      </c>
    </row>
    <row r="49" spans="2:8" x14ac:dyDescent="0.25">
      <c r="B49" s="10" t="s">
        <v>94</v>
      </c>
      <c r="C49" s="10">
        <v>2</v>
      </c>
    </row>
    <row r="50" spans="2:8" x14ac:dyDescent="0.25">
      <c r="B50" s="10" t="s">
        <v>95</v>
      </c>
      <c r="C50" s="10">
        <v>3</v>
      </c>
    </row>
    <row r="51" spans="2:8" x14ac:dyDescent="0.25">
      <c r="B51" s="10" t="s">
        <v>96</v>
      </c>
      <c r="C51" s="10">
        <v>4</v>
      </c>
    </row>
    <row r="52" spans="2:8" x14ac:dyDescent="0.25">
      <c r="B52" s="5" t="s">
        <v>97</v>
      </c>
      <c r="C52" s="5">
        <v>5</v>
      </c>
    </row>
    <row r="54" spans="2:8" x14ac:dyDescent="0.25">
      <c r="C54" s="324" t="s">
        <v>186</v>
      </c>
      <c r="D54" s="324"/>
      <c r="E54" s="324" t="s">
        <v>187</v>
      </c>
      <c r="F54" s="324"/>
      <c r="G54" s="324" t="s">
        <v>185</v>
      </c>
      <c r="H54" s="324"/>
    </row>
    <row r="55" spans="2:8" x14ac:dyDescent="0.25">
      <c r="B55" s="4" t="s">
        <v>46</v>
      </c>
      <c r="C55" t="s">
        <v>178</v>
      </c>
      <c r="E55" t="s">
        <v>178</v>
      </c>
      <c r="G55" t="s">
        <v>178</v>
      </c>
    </row>
    <row r="56" spans="2:8" x14ac:dyDescent="0.25">
      <c r="B56" s="10" t="s">
        <v>27</v>
      </c>
    </row>
    <row r="57" spans="2:8" x14ac:dyDescent="0.25">
      <c r="B57" s="10" t="s">
        <v>28</v>
      </c>
    </row>
    <row r="58" spans="2:8" x14ac:dyDescent="0.25">
      <c r="B58" s="5" t="s">
        <v>29</v>
      </c>
      <c r="C58" t="s">
        <v>188</v>
      </c>
      <c r="D58" t="s">
        <v>225</v>
      </c>
      <c r="E58" t="s">
        <v>188</v>
      </c>
      <c r="F58" t="s">
        <v>225</v>
      </c>
      <c r="G58" t="s">
        <v>189</v>
      </c>
      <c r="H58" t="s">
        <v>190</v>
      </c>
    </row>
    <row r="61" spans="2:8" x14ac:dyDescent="0.25">
      <c r="B61" t="s">
        <v>202</v>
      </c>
    </row>
    <row r="62" spans="2:8" x14ac:dyDescent="0.25">
      <c r="B62" t="s">
        <v>203</v>
      </c>
    </row>
    <row r="63" spans="2:8" x14ac:dyDescent="0.25">
      <c r="B63" t="s">
        <v>204</v>
      </c>
    </row>
    <row r="64" spans="2:8" x14ac:dyDescent="0.25">
      <c r="B64" s="2" t="s">
        <v>205</v>
      </c>
    </row>
    <row r="65" spans="2:14" ht="15.75" thickBot="1" x14ac:dyDescent="0.3"/>
    <row r="66" spans="2:14" ht="15.75" thickBot="1" x14ac:dyDescent="0.3">
      <c r="B66" s="76" t="s">
        <v>270</v>
      </c>
      <c r="C66" s="60"/>
      <c r="D66" s="60"/>
      <c r="E66" s="60"/>
      <c r="F66" s="60"/>
      <c r="G66" s="60"/>
      <c r="H66" s="60"/>
      <c r="I66" s="60"/>
      <c r="J66" s="60"/>
      <c r="K66" s="60"/>
      <c r="L66" s="60"/>
      <c r="M66" s="60"/>
      <c r="N66" s="61"/>
    </row>
    <row r="67" spans="2:14" ht="15.75" thickBot="1" x14ac:dyDescent="0.3">
      <c r="B67" s="74" t="s">
        <v>3</v>
      </c>
      <c r="C67" s="75" t="str">
        <f>IF(Inputs!B28=B70,"Incomplete",IF(Inputs!B28=lookups!B71,VLOOKUP(Inputs!C28,lookups!B79:C80,2,FALSE),IF(Inputs!B28=lookups!B72,IF(Inputs!C28=lookups!B84,VLOOKUP(Inputs!C45,lookups!F84:G88,2,TRUE),VLOOKUP(Inputs!C28,lookups!B85:C87,2,FALSE)),IF(Inputs!B28=lookups!B73,IF(Inputs!C28=lookups!B92,VLOOKUP(Inputs!C45,lookups!F91:G95,2,TRUE),VLOOKUP(Inputs!C28,lookups!B93:C94,2,FALSE)),IF(Inputs!B28=lookups!B74,C99,IF(Inputs!B28=lookups!B75,IF(Inputs!C28=lookups!B105,C105,IF(Inputs!C28=lookups!B106,C106,"Incomplete"))))))))</f>
        <v>Incomplete</v>
      </c>
      <c r="D67" s="41"/>
      <c r="E67" s="42" t="s">
        <v>331</v>
      </c>
      <c r="F67" s="41"/>
      <c r="G67" s="41"/>
      <c r="H67" s="41"/>
      <c r="I67" s="41"/>
      <c r="J67" s="41"/>
      <c r="K67" s="41"/>
      <c r="L67" s="41"/>
      <c r="M67" s="41"/>
      <c r="N67" s="63"/>
    </row>
    <row r="68" spans="2:14" x14ac:dyDescent="0.25">
      <c r="B68" s="150" t="s">
        <v>433</v>
      </c>
      <c r="C68" s="41"/>
      <c r="D68" s="41"/>
      <c r="E68" s="89" t="s">
        <v>349</v>
      </c>
      <c r="F68" s="41"/>
      <c r="G68" s="41"/>
      <c r="H68" s="41"/>
      <c r="I68" s="41"/>
      <c r="J68" s="41"/>
      <c r="K68" s="41"/>
      <c r="L68" s="41"/>
      <c r="M68" s="41"/>
      <c r="N68" s="63"/>
    </row>
    <row r="69" spans="2:14" x14ac:dyDescent="0.25">
      <c r="B69" s="62"/>
      <c r="C69" s="41"/>
      <c r="D69" s="41"/>
      <c r="E69" s="41"/>
      <c r="F69" s="41"/>
      <c r="G69" s="41"/>
      <c r="H69" s="41"/>
      <c r="I69" s="41"/>
      <c r="J69" s="41"/>
      <c r="K69" s="41"/>
      <c r="L69" s="41"/>
      <c r="M69" s="41"/>
      <c r="N69" s="63"/>
    </row>
    <row r="70" spans="2:14" x14ac:dyDescent="0.25">
      <c r="B70" s="64" t="s">
        <v>237</v>
      </c>
      <c r="C70" s="41"/>
      <c r="E70" s="41"/>
      <c r="F70" s="41"/>
      <c r="G70" s="41"/>
      <c r="H70" s="41"/>
      <c r="I70" s="41"/>
      <c r="J70" s="41"/>
      <c r="K70" s="41"/>
      <c r="L70" s="41"/>
      <c r="M70" s="41"/>
      <c r="N70" s="63"/>
    </row>
    <row r="71" spans="2:14" x14ac:dyDescent="0.25">
      <c r="B71" s="65" t="s">
        <v>253</v>
      </c>
      <c r="C71" s="41"/>
      <c r="D71" s="41" t="s">
        <v>299</v>
      </c>
      <c r="E71" s="41"/>
      <c r="F71" s="41"/>
      <c r="G71" s="41"/>
      <c r="H71" s="41"/>
      <c r="I71" s="41"/>
      <c r="J71" s="41"/>
      <c r="K71" s="41"/>
      <c r="L71" s="41"/>
      <c r="M71" s="41"/>
      <c r="N71" s="63"/>
    </row>
    <row r="72" spans="2:14" x14ac:dyDescent="0.25">
      <c r="B72" s="65" t="s">
        <v>254</v>
      </c>
      <c r="C72" s="41"/>
      <c r="D72" s="41"/>
      <c r="E72" s="41"/>
      <c r="F72" s="41"/>
      <c r="G72" s="41"/>
      <c r="H72" s="41"/>
      <c r="I72" s="41"/>
      <c r="J72" s="41"/>
      <c r="K72" s="41"/>
      <c r="L72" s="41"/>
      <c r="M72" s="41"/>
      <c r="N72" s="63"/>
    </row>
    <row r="73" spans="2:14" x14ac:dyDescent="0.25">
      <c r="B73" s="66" t="s">
        <v>301</v>
      </c>
      <c r="C73" s="41"/>
      <c r="D73" s="41"/>
      <c r="E73" s="41"/>
      <c r="F73" s="41"/>
      <c r="G73" s="41"/>
      <c r="H73" s="41"/>
      <c r="I73" s="41"/>
      <c r="J73" s="41"/>
      <c r="K73" s="41"/>
      <c r="L73" s="41"/>
      <c r="M73" s="41"/>
      <c r="N73" s="63"/>
    </row>
    <row r="74" spans="2:14" x14ac:dyDescent="0.25">
      <c r="B74" s="66" t="s">
        <v>256</v>
      </c>
      <c r="C74" s="41"/>
      <c r="D74" s="41"/>
      <c r="E74" s="41"/>
      <c r="F74" s="41"/>
      <c r="G74" s="41"/>
      <c r="H74" s="41"/>
      <c r="I74" s="41"/>
      <c r="J74" s="41"/>
      <c r="K74" s="41"/>
      <c r="L74" s="41"/>
      <c r="M74" s="41"/>
      <c r="N74" s="63"/>
    </row>
    <row r="75" spans="2:14" x14ac:dyDescent="0.25">
      <c r="B75" s="67" t="s">
        <v>255</v>
      </c>
      <c r="C75" s="41"/>
      <c r="D75" s="41"/>
      <c r="E75" s="41"/>
      <c r="F75" s="41"/>
      <c r="G75" s="41"/>
      <c r="H75" s="41"/>
      <c r="I75" s="41"/>
      <c r="J75" s="41"/>
      <c r="K75" s="41"/>
      <c r="L75" s="41"/>
      <c r="M75" s="41"/>
      <c r="N75" s="63"/>
    </row>
    <row r="76" spans="2:14" x14ac:dyDescent="0.25">
      <c r="B76" s="68"/>
      <c r="C76" s="41"/>
      <c r="D76" s="41"/>
      <c r="E76" s="41"/>
      <c r="F76" s="41"/>
      <c r="G76" s="41"/>
      <c r="H76" s="41"/>
      <c r="I76" s="41"/>
      <c r="J76" s="41"/>
      <c r="K76" s="41"/>
      <c r="L76" s="41"/>
      <c r="M76" s="41"/>
      <c r="N76" s="63"/>
    </row>
    <row r="77" spans="2:14" x14ac:dyDescent="0.25">
      <c r="B77" s="65" t="s">
        <v>253</v>
      </c>
      <c r="C77" s="41"/>
      <c r="D77" s="41"/>
      <c r="E77" s="41"/>
      <c r="F77" s="41"/>
      <c r="H77" s="41"/>
      <c r="I77" s="41"/>
      <c r="J77" s="41"/>
      <c r="K77" s="41"/>
      <c r="L77" s="41"/>
      <c r="M77" s="41"/>
      <c r="N77" s="63"/>
    </row>
    <row r="78" spans="2:14" x14ac:dyDescent="0.25">
      <c r="B78" s="69" t="s">
        <v>239</v>
      </c>
      <c r="C78" s="8" t="s">
        <v>247</v>
      </c>
      <c r="D78" s="41"/>
      <c r="E78" s="41"/>
      <c r="F78" s="41"/>
      <c r="G78" s="41"/>
      <c r="H78" s="41"/>
      <c r="I78" s="41"/>
      <c r="J78" s="41"/>
      <c r="K78" s="41"/>
      <c r="L78" s="41"/>
      <c r="M78" s="41"/>
      <c r="N78" s="63"/>
    </row>
    <row r="79" spans="2:14" x14ac:dyDescent="0.25">
      <c r="B79" s="48" t="s">
        <v>242</v>
      </c>
      <c r="C79" s="8">
        <v>18</v>
      </c>
      <c r="D79" s="41"/>
      <c r="E79" s="41"/>
      <c r="F79" s="41"/>
      <c r="G79" s="41"/>
      <c r="H79" s="41"/>
      <c r="I79" s="41"/>
      <c r="J79" s="41"/>
      <c r="K79" s="41"/>
      <c r="L79" s="41"/>
      <c r="M79" s="41"/>
      <c r="N79" s="63"/>
    </row>
    <row r="80" spans="2:14" x14ac:dyDescent="0.25">
      <c r="B80" s="48" t="s">
        <v>243</v>
      </c>
      <c r="C80" s="8">
        <v>16.3</v>
      </c>
      <c r="D80" s="41"/>
      <c r="E80" s="41"/>
      <c r="F80" s="41"/>
      <c r="G80" s="41"/>
      <c r="H80" s="41"/>
      <c r="I80" s="41"/>
      <c r="J80" s="41"/>
      <c r="K80" s="41"/>
      <c r="L80" s="41"/>
      <c r="M80" s="41"/>
      <c r="N80" s="63"/>
    </row>
    <row r="81" spans="2:14" x14ac:dyDescent="0.25">
      <c r="B81" s="62"/>
      <c r="C81" s="41"/>
      <c r="D81" s="41"/>
      <c r="E81" s="41"/>
      <c r="F81" s="41"/>
      <c r="G81" s="41"/>
      <c r="H81" s="41"/>
      <c r="I81" s="41"/>
      <c r="J81" s="41"/>
      <c r="K81" s="41"/>
      <c r="L81" s="41"/>
      <c r="M81" s="41"/>
      <c r="N81" s="63"/>
    </row>
    <row r="82" spans="2:14" x14ac:dyDescent="0.25">
      <c r="B82" s="65" t="s">
        <v>254</v>
      </c>
      <c r="C82" s="41"/>
      <c r="D82" s="41"/>
      <c r="E82" s="41"/>
      <c r="F82" s="41"/>
      <c r="G82" s="41"/>
      <c r="H82" s="41"/>
      <c r="I82" s="41"/>
      <c r="J82" s="41"/>
      <c r="K82" s="41"/>
      <c r="L82" s="41"/>
      <c r="M82" s="41"/>
      <c r="N82" s="63"/>
    </row>
    <row r="83" spans="2:14" x14ac:dyDescent="0.25">
      <c r="B83" s="69" t="s">
        <v>239</v>
      </c>
      <c r="C83" s="8" t="s">
        <v>247</v>
      </c>
      <c r="D83" s="41"/>
      <c r="E83" s="41"/>
      <c r="F83" s="8" t="s">
        <v>228</v>
      </c>
      <c r="G83" s="8" t="s">
        <v>247</v>
      </c>
      <c r="H83" s="8" t="s">
        <v>262</v>
      </c>
      <c r="I83" s="41"/>
      <c r="J83" s="41"/>
      <c r="K83" s="41"/>
      <c r="L83" s="41"/>
      <c r="M83" s="41"/>
      <c r="N83" s="63"/>
    </row>
    <row r="84" spans="2:14" x14ac:dyDescent="0.25">
      <c r="B84" s="48" t="s">
        <v>242</v>
      </c>
      <c r="C84" s="8" t="s">
        <v>252</v>
      </c>
      <c r="D84" s="41"/>
      <c r="E84" s="41"/>
      <c r="F84" s="8">
        <v>0</v>
      </c>
      <c r="G84" s="8" t="s">
        <v>240</v>
      </c>
      <c r="H84" s="8"/>
      <c r="I84" s="41"/>
      <c r="J84" s="41"/>
      <c r="K84" s="41"/>
      <c r="L84" s="41"/>
      <c r="M84" s="41"/>
      <c r="N84" s="63"/>
    </row>
    <row r="85" spans="2:14" x14ac:dyDescent="0.25">
      <c r="B85" s="48" t="s">
        <v>244</v>
      </c>
      <c r="C85" s="8">
        <v>14.1</v>
      </c>
      <c r="D85" s="41"/>
      <c r="E85" s="41"/>
      <c r="F85" s="8">
        <v>0.1</v>
      </c>
      <c r="G85" s="8">
        <v>12.2</v>
      </c>
      <c r="H85" s="8" t="s">
        <v>232</v>
      </c>
      <c r="I85" s="41"/>
      <c r="J85" s="41"/>
      <c r="K85" s="41"/>
      <c r="L85" s="41"/>
      <c r="M85" s="41"/>
      <c r="N85" s="63"/>
    </row>
    <row r="86" spans="2:14" x14ac:dyDescent="0.25">
      <c r="B86" s="48" t="s">
        <v>243</v>
      </c>
      <c r="C86" s="8">
        <v>10.6</v>
      </c>
      <c r="D86" s="41"/>
      <c r="E86" s="41"/>
      <c r="F86" s="8">
        <v>17000</v>
      </c>
      <c r="G86" s="8">
        <v>13</v>
      </c>
      <c r="H86" s="8" t="s">
        <v>233</v>
      </c>
      <c r="I86" s="41"/>
      <c r="J86" s="41"/>
      <c r="K86" s="41"/>
      <c r="L86" s="41"/>
      <c r="M86" s="41"/>
      <c r="N86" s="63"/>
    </row>
    <row r="87" spans="2:14" x14ac:dyDescent="0.25">
      <c r="B87" s="48" t="s">
        <v>245</v>
      </c>
      <c r="C87" s="8">
        <v>12.1</v>
      </c>
      <c r="D87" s="41"/>
      <c r="E87" s="41"/>
      <c r="F87" s="8">
        <v>65000</v>
      </c>
      <c r="G87" s="8">
        <v>13</v>
      </c>
      <c r="H87" s="8" t="s">
        <v>234</v>
      </c>
      <c r="I87" s="41"/>
      <c r="J87" s="41"/>
      <c r="K87" s="41"/>
      <c r="L87" s="41"/>
      <c r="M87" s="41"/>
      <c r="N87" s="63"/>
    </row>
    <row r="88" spans="2:14" x14ac:dyDescent="0.25">
      <c r="B88" s="62"/>
      <c r="C88" s="41"/>
      <c r="D88" s="41"/>
      <c r="E88" s="41"/>
      <c r="F88" s="8">
        <v>135000</v>
      </c>
      <c r="G88" s="8" t="s">
        <v>241</v>
      </c>
      <c r="H88" s="8"/>
      <c r="I88" s="41"/>
      <c r="J88" s="41"/>
      <c r="K88" s="41"/>
      <c r="L88" s="41"/>
      <c r="M88" s="41"/>
      <c r="N88" s="63"/>
    </row>
    <row r="89" spans="2:14" x14ac:dyDescent="0.25">
      <c r="B89" s="62"/>
      <c r="C89" s="41"/>
      <c r="D89" s="41"/>
      <c r="E89" s="41"/>
      <c r="F89" s="41"/>
      <c r="G89" s="41"/>
      <c r="H89" s="41"/>
      <c r="I89" s="41"/>
      <c r="J89" s="41"/>
      <c r="K89" s="41"/>
      <c r="L89" s="41"/>
      <c r="M89" s="41"/>
      <c r="N89" s="63"/>
    </row>
    <row r="90" spans="2:14" x14ac:dyDescent="0.25">
      <c r="B90" s="70" t="s">
        <v>257</v>
      </c>
      <c r="C90" s="8"/>
      <c r="D90" s="8"/>
      <c r="E90" s="41"/>
      <c r="F90" s="59" t="s">
        <v>258</v>
      </c>
      <c r="G90" s="8" t="s">
        <v>247</v>
      </c>
      <c r="H90" s="8" t="s">
        <v>261</v>
      </c>
      <c r="I90" s="8" t="s">
        <v>262</v>
      </c>
      <c r="J90" s="8" t="s">
        <v>267</v>
      </c>
      <c r="K90" s="8" t="s">
        <v>264</v>
      </c>
      <c r="L90" s="41"/>
      <c r="M90" s="41" t="s">
        <v>263</v>
      </c>
      <c r="N90" s="63"/>
    </row>
    <row r="91" spans="2:14" x14ac:dyDescent="0.25">
      <c r="B91" s="69" t="s">
        <v>239</v>
      </c>
      <c r="C91" s="8" t="s">
        <v>247</v>
      </c>
      <c r="D91" s="8" t="s">
        <v>261</v>
      </c>
      <c r="E91" s="41"/>
      <c r="F91" s="59">
        <v>0</v>
      </c>
      <c r="G91" s="59" t="s">
        <v>240</v>
      </c>
      <c r="H91" s="8"/>
      <c r="I91" s="8"/>
      <c r="J91" s="8"/>
      <c r="K91" s="8"/>
      <c r="L91" s="41"/>
      <c r="M91" s="41" t="s">
        <v>269</v>
      </c>
      <c r="N91" s="63"/>
    </row>
    <row r="92" spans="2:14" x14ac:dyDescent="0.25">
      <c r="B92" s="70" t="s">
        <v>258</v>
      </c>
      <c r="C92" s="8" t="s">
        <v>252</v>
      </c>
      <c r="D92" s="8"/>
      <c r="E92" s="41"/>
      <c r="F92" s="59">
        <v>0.1</v>
      </c>
      <c r="G92" s="8">
        <f>(-0.02*H92^2)+(1.12*H92)</f>
        <v>11.760000000000002</v>
      </c>
      <c r="H92" s="8">
        <v>14</v>
      </c>
      <c r="I92" s="8" t="s">
        <v>248</v>
      </c>
      <c r="J92" s="8"/>
      <c r="K92" s="8"/>
      <c r="L92" s="41"/>
      <c r="M92" s="41" t="str">
        <f>IF(OR(Inputs!B37=lookups!B125,Inputs!C18=lookups!B16),"Yes","No")</f>
        <v>No</v>
      </c>
      <c r="N92" s="63"/>
    </row>
    <row r="93" spans="2:14" x14ac:dyDescent="0.25">
      <c r="B93" s="70" t="s">
        <v>259</v>
      </c>
      <c r="C93" s="8">
        <f>(-0.02*D93^2)+(1.12*D93)</f>
        <v>10.560000000000002</v>
      </c>
      <c r="D93" s="8">
        <v>12</v>
      </c>
      <c r="E93" s="41"/>
      <c r="F93" s="59">
        <v>65000</v>
      </c>
      <c r="G93" s="8">
        <f>IF(M$92="Yes",J93,K93)</f>
        <v>10.8</v>
      </c>
      <c r="H93" s="8"/>
      <c r="I93" s="8" t="s">
        <v>265</v>
      </c>
      <c r="J93" s="8">
        <v>11</v>
      </c>
      <c r="K93" s="8">
        <v>10.8</v>
      </c>
      <c r="L93" s="41"/>
      <c r="M93" s="41"/>
      <c r="N93" s="63"/>
    </row>
    <row r="94" spans="2:14" x14ac:dyDescent="0.25">
      <c r="B94" s="70" t="s">
        <v>260</v>
      </c>
      <c r="C94" s="8">
        <f>(-0.02*D94^2)+(1.12*D94)</f>
        <v>9.9</v>
      </c>
      <c r="D94" s="8">
        <v>11</v>
      </c>
      <c r="E94" s="41"/>
      <c r="F94" s="59">
        <v>135000</v>
      </c>
      <c r="G94" s="8">
        <f t="shared" ref="G94:G95" si="0">IF(M$92="Yes",J94,K94)</f>
        <v>10.4</v>
      </c>
      <c r="H94" s="8"/>
      <c r="I94" s="8" t="s">
        <v>266</v>
      </c>
      <c r="J94" s="8">
        <v>10.6</v>
      </c>
      <c r="K94" s="8">
        <v>10.4</v>
      </c>
      <c r="L94" s="41"/>
      <c r="M94" s="41"/>
      <c r="N94" s="63"/>
    </row>
    <row r="95" spans="2:14" x14ac:dyDescent="0.25">
      <c r="B95" s="62"/>
      <c r="C95" s="41"/>
      <c r="D95" s="41"/>
      <c r="E95" s="41"/>
      <c r="F95" s="59">
        <v>240000</v>
      </c>
      <c r="G95" s="8">
        <f t="shared" si="0"/>
        <v>9.3000000000000007</v>
      </c>
      <c r="H95" s="8"/>
      <c r="I95" s="8" t="s">
        <v>268</v>
      </c>
      <c r="J95" s="8">
        <v>9.5</v>
      </c>
      <c r="K95" s="8">
        <v>9.3000000000000007</v>
      </c>
      <c r="L95" s="41"/>
      <c r="M95" s="41"/>
      <c r="N95" s="63"/>
    </row>
    <row r="96" spans="2:14" x14ac:dyDescent="0.25">
      <c r="B96" s="62"/>
      <c r="C96" s="41"/>
      <c r="D96" s="41"/>
      <c r="E96" s="41"/>
      <c r="F96" s="41"/>
      <c r="G96" s="41"/>
      <c r="H96" s="41"/>
      <c r="I96" s="41"/>
      <c r="J96" s="41"/>
      <c r="K96" s="41"/>
      <c r="L96" s="41"/>
      <c r="M96" s="41"/>
      <c r="N96" s="63"/>
    </row>
    <row r="97" spans="2:14" ht="15.75" thickBot="1" x14ac:dyDescent="0.3">
      <c r="B97" s="70" t="s">
        <v>256</v>
      </c>
      <c r="C97" s="8"/>
      <c r="D97" s="40"/>
      <c r="E97" s="41"/>
      <c r="F97" s="41"/>
      <c r="G97" s="41"/>
      <c r="H97" s="41"/>
      <c r="I97" s="41"/>
      <c r="J97" s="41"/>
      <c r="K97" s="41"/>
      <c r="L97" s="41"/>
      <c r="M97" s="41"/>
      <c r="N97" s="63"/>
    </row>
    <row r="98" spans="2:14" ht="15" customHeight="1" thickBot="1" x14ac:dyDescent="0.3">
      <c r="B98" s="69" t="s">
        <v>239</v>
      </c>
      <c r="C98" s="59" t="s">
        <v>247</v>
      </c>
      <c r="D98" s="8" t="s">
        <v>291</v>
      </c>
      <c r="E98" s="41"/>
      <c r="F98" s="41"/>
      <c r="G98" s="100" t="s">
        <v>274</v>
      </c>
      <c r="H98" s="301" t="s">
        <v>309</v>
      </c>
      <c r="I98" s="302"/>
      <c r="J98" s="302"/>
      <c r="K98" s="302"/>
      <c r="L98" s="302"/>
      <c r="M98" s="303"/>
      <c r="N98" s="63"/>
    </row>
    <row r="99" spans="2:14" x14ac:dyDescent="0.25">
      <c r="B99" s="48" t="s">
        <v>275</v>
      </c>
      <c r="C99" s="8">
        <f>VLOOKUP(D99,Tables!I264:M265,Tables!O264,FALSE)</f>
        <v>15.8</v>
      </c>
      <c r="D99" s="8" t="str">
        <f>IF(Inputs!C45&lt;(150*12000),Tables!I264,Tables!I265)</f>
        <v>Air cooled &lt;150 tons</v>
      </c>
      <c r="E99" s="41"/>
      <c r="F99" s="41"/>
      <c r="G99" s="41"/>
      <c r="H99" s="304"/>
      <c r="I99" s="305"/>
      <c r="J99" s="305"/>
      <c r="K99" s="305"/>
      <c r="L99" s="305"/>
      <c r="M99" s="306"/>
      <c r="N99" s="63"/>
    </row>
    <row r="100" spans="2:14" x14ac:dyDescent="0.25">
      <c r="B100" s="62"/>
      <c r="C100" s="41"/>
      <c r="D100" s="41"/>
      <c r="E100" s="41"/>
      <c r="F100" s="41"/>
      <c r="G100" s="41"/>
      <c r="H100" s="304"/>
      <c r="I100" s="305"/>
      <c r="J100" s="305"/>
      <c r="K100" s="305"/>
      <c r="L100" s="305"/>
      <c r="M100" s="306"/>
      <c r="N100" s="63"/>
    </row>
    <row r="101" spans="2:14" x14ac:dyDescent="0.25">
      <c r="B101" s="62"/>
      <c r="C101" s="41"/>
      <c r="D101" s="41"/>
      <c r="E101" s="41"/>
      <c r="F101" s="41"/>
      <c r="G101" s="41"/>
      <c r="H101" s="304"/>
      <c r="I101" s="305"/>
      <c r="J101" s="305"/>
      <c r="K101" s="305"/>
      <c r="L101" s="305"/>
      <c r="M101" s="306"/>
      <c r="N101" s="63"/>
    </row>
    <row r="102" spans="2:14" ht="15.75" thickBot="1" x14ac:dyDescent="0.3">
      <c r="B102" s="62"/>
      <c r="C102" s="41"/>
      <c r="D102" s="41"/>
      <c r="E102" s="41"/>
      <c r="F102" s="41"/>
      <c r="G102" s="15"/>
      <c r="H102" s="307"/>
      <c r="I102" s="308"/>
      <c r="J102" s="308"/>
      <c r="K102" s="308"/>
      <c r="L102" s="308"/>
      <c r="M102" s="309"/>
      <c r="N102" s="63"/>
    </row>
    <row r="103" spans="2:14" x14ac:dyDescent="0.25">
      <c r="B103" s="70" t="s">
        <v>255</v>
      </c>
      <c r="C103" s="8"/>
      <c r="D103" s="8"/>
      <c r="E103" s="41"/>
      <c r="F103" s="41"/>
      <c r="G103" s="41"/>
      <c r="H103" s="41"/>
      <c r="I103" s="41"/>
      <c r="J103" s="41"/>
      <c r="K103" s="41"/>
      <c r="L103" s="41"/>
      <c r="M103" s="41"/>
      <c r="N103" s="63"/>
    </row>
    <row r="104" spans="2:14" x14ac:dyDescent="0.25">
      <c r="B104" s="69" t="s">
        <v>239</v>
      </c>
      <c r="C104" s="8" t="s">
        <v>247</v>
      </c>
      <c r="D104" s="8" t="s">
        <v>292</v>
      </c>
      <c r="E104" s="41"/>
      <c r="F104" s="41"/>
      <c r="G104" s="59" t="s">
        <v>293</v>
      </c>
      <c r="H104" s="8"/>
      <c r="I104" s="41"/>
      <c r="J104" s="8" t="s">
        <v>294</v>
      </c>
      <c r="K104" s="8"/>
      <c r="L104" s="41"/>
      <c r="M104" s="41"/>
      <c r="N104" s="63"/>
    </row>
    <row r="105" spans="2:14" x14ac:dyDescent="0.25">
      <c r="B105" s="48" t="s">
        <v>277</v>
      </c>
      <c r="C105" s="8" t="e">
        <f>VLOOKUP(D105,Tables!I268:M272,Tables!O264,FALSE)</f>
        <v>#N/A</v>
      </c>
      <c r="D105" s="8" t="str">
        <f>VLOOKUP(Inputs!C45,lookups!G105:H110,2,TRUE)</f>
        <v>Enter system capacity</v>
      </c>
      <c r="E105" s="41"/>
      <c r="F105" s="41"/>
      <c r="G105" s="8">
        <v>0</v>
      </c>
      <c r="H105" s="8" t="s">
        <v>240</v>
      </c>
      <c r="I105" s="41"/>
      <c r="J105" s="8">
        <v>0</v>
      </c>
      <c r="K105" s="8" t="s">
        <v>240</v>
      </c>
      <c r="L105" s="41"/>
      <c r="M105" s="41"/>
      <c r="N105" s="63"/>
    </row>
    <row r="106" spans="2:14" x14ac:dyDescent="0.25">
      <c r="B106" s="48" t="s">
        <v>278</v>
      </c>
      <c r="C106" s="8" t="e">
        <f>VLOOKUP(D106,Tables!I274:M278,Tables!O264,FALSE)</f>
        <v>#N/A</v>
      </c>
      <c r="D106" s="8" t="str">
        <f>VLOOKUP(Inputs!C45,lookups!J105:K110,2,TRUE)</f>
        <v>Enter system capacity</v>
      </c>
      <c r="E106" s="41"/>
      <c r="F106" s="41"/>
      <c r="G106" s="8">
        <v>0.1</v>
      </c>
      <c r="H106" s="8" t="s">
        <v>279</v>
      </c>
      <c r="I106" s="41"/>
      <c r="J106" s="8">
        <v>0.1</v>
      </c>
      <c r="K106" s="8" t="s">
        <v>285</v>
      </c>
      <c r="L106" s="41"/>
      <c r="M106" s="41"/>
      <c r="N106" s="63"/>
    </row>
    <row r="107" spans="2:14" x14ac:dyDescent="0.25">
      <c r="B107" s="62"/>
      <c r="C107" s="41"/>
      <c r="D107" s="41"/>
      <c r="E107" s="41"/>
      <c r="F107" s="41"/>
      <c r="G107" s="8">
        <f>75*12000</f>
        <v>900000</v>
      </c>
      <c r="H107" s="8" t="s">
        <v>280</v>
      </c>
      <c r="I107" s="41"/>
      <c r="J107" s="8">
        <f>150*12000</f>
        <v>1800000</v>
      </c>
      <c r="K107" s="8" t="s">
        <v>286</v>
      </c>
      <c r="L107" s="41"/>
      <c r="M107" s="41"/>
      <c r="N107" s="63"/>
    </row>
    <row r="108" spans="2:14" x14ac:dyDescent="0.25">
      <c r="B108" s="62"/>
      <c r="C108" s="41"/>
      <c r="D108" s="41"/>
      <c r="E108" s="41"/>
      <c r="F108" s="41"/>
      <c r="G108" s="8">
        <f>150*12000</f>
        <v>1800000</v>
      </c>
      <c r="H108" s="8" t="s">
        <v>281</v>
      </c>
      <c r="I108" s="41"/>
      <c r="J108" s="8">
        <f>300*12000</f>
        <v>3600000</v>
      </c>
      <c r="K108" s="8" t="s">
        <v>287</v>
      </c>
      <c r="L108" s="41"/>
      <c r="M108" s="41"/>
      <c r="N108" s="63"/>
    </row>
    <row r="109" spans="2:14" x14ac:dyDescent="0.25">
      <c r="B109" s="62"/>
      <c r="C109" s="41"/>
      <c r="D109" s="41"/>
      <c r="E109" s="41"/>
      <c r="F109" s="41"/>
      <c r="G109" s="8">
        <f>300*12000</f>
        <v>3600000</v>
      </c>
      <c r="H109" s="8" t="s">
        <v>282</v>
      </c>
      <c r="I109" s="41"/>
      <c r="J109" s="8">
        <f>400*12000</f>
        <v>4800000</v>
      </c>
      <c r="K109" s="8" t="s">
        <v>295</v>
      </c>
      <c r="L109" s="41"/>
      <c r="M109" s="41"/>
      <c r="N109" s="63"/>
    </row>
    <row r="110" spans="2:14" x14ac:dyDescent="0.25">
      <c r="B110" s="62"/>
      <c r="C110" s="41"/>
      <c r="D110" s="41"/>
      <c r="E110" s="41"/>
      <c r="F110" s="41"/>
      <c r="G110" s="8">
        <f>600*12000</f>
        <v>7200000</v>
      </c>
      <c r="H110" s="8" t="s">
        <v>283</v>
      </c>
      <c r="I110" s="41"/>
      <c r="J110" s="8">
        <f>600*12000</f>
        <v>7200000</v>
      </c>
      <c r="K110" s="8" t="s">
        <v>288</v>
      </c>
      <c r="L110" s="41"/>
      <c r="M110" s="41"/>
      <c r="N110" s="63"/>
    </row>
    <row r="111" spans="2:14" ht="15.75" thickBot="1" x14ac:dyDescent="0.3">
      <c r="B111" s="71"/>
      <c r="C111" s="72"/>
      <c r="D111" s="72"/>
      <c r="E111" s="72"/>
      <c r="F111" s="72"/>
      <c r="G111" s="72"/>
      <c r="H111" s="72"/>
      <c r="I111" s="72"/>
      <c r="J111" s="72"/>
      <c r="K111" s="72"/>
      <c r="L111" s="72"/>
      <c r="M111" s="72"/>
      <c r="N111" s="73"/>
    </row>
    <row r="113" spans="2:19" ht="15.75" thickBot="1" x14ac:dyDescent="0.3"/>
    <row r="114" spans="2:19" x14ac:dyDescent="0.25">
      <c r="B114" s="76" t="s">
        <v>326</v>
      </c>
      <c r="C114" s="60"/>
      <c r="D114" s="60"/>
      <c r="E114" s="60"/>
      <c r="F114" s="60"/>
      <c r="G114" s="60"/>
      <c r="H114" s="60"/>
      <c r="I114" s="60"/>
      <c r="J114" s="60"/>
      <c r="K114" s="60"/>
      <c r="L114" s="60"/>
      <c r="M114" s="60"/>
      <c r="N114" s="60"/>
      <c r="O114" s="60"/>
      <c r="P114" s="60"/>
      <c r="Q114" s="60"/>
      <c r="R114" s="60"/>
      <c r="S114" s="61"/>
    </row>
    <row r="115" spans="2:19" x14ac:dyDescent="0.25">
      <c r="B115" s="62" t="s">
        <v>338</v>
      </c>
      <c r="C115" s="115" t="str">
        <f>Inputs!B37</f>
        <v>-Existing Electric System Type-</v>
      </c>
      <c r="D115" s="115"/>
      <c r="E115" s="115"/>
      <c r="F115" s="115"/>
      <c r="G115" s="115"/>
      <c r="H115" s="115"/>
      <c r="I115" s="115"/>
      <c r="J115" s="115"/>
      <c r="K115" s="115"/>
      <c r="L115" s="115"/>
      <c r="M115" s="115"/>
      <c r="N115" s="115"/>
      <c r="O115" s="115"/>
      <c r="P115" s="115"/>
      <c r="Q115" s="115"/>
      <c r="R115" s="115"/>
      <c r="S115" s="63"/>
    </row>
    <row r="116" spans="2:19" x14ac:dyDescent="0.25">
      <c r="B116" s="62" t="s">
        <v>339</v>
      </c>
      <c r="C116" s="115" t="str">
        <f>Inputs!C37:D37</f>
        <v>-System subtype-</v>
      </c>
      <c r="D116" s="115"/>
      <c r="E116" s="115"/>
      <c r="F116" s="115"/>
      <c r="G116" s="115"/>
      <c r="H116" s="115"/>
      <c r="I116" s="115"/>
      <c r="J116" s="115"/>
      <c r="K116" s="115"/>
      <c r="L116" s="115"/>
      <c r="M116" s="115"/>
      <c r="N116" s="115"/>
      <c r="O116" s="115"/>
      <c r="P116" s="115"/>
      <c r="Q116" s="115"/>
      <c r="R116" s="115"/>
      <c r="S116" s="63"/>
    </row>
    <row r="117" spans="2:19" x14ac:dyDescent="0.25">
      <c r="B117" s="62" t="s">
        <v>15</v>
      </c>
      <c r="C117" s="115">
        <f>Inputs!C47</f>
        <v>0</v>
      </c>
      <c r="D117" s="115" t="s">
        <v>347</v>
      </c>
      <c r="E117" s="115"/>
      <c r="F117" s="115"/>
      <c r="G117" s="115"/>
      <c r="H117" s="115"/>
      <c r="I117" s="115"/>
      <c r="J117" s="115"/>
      <c r="K117" s="115"/>
      <c r="L117" s="115"/>
      <c r="M117" s="115"/>
      <c r="N117" s="115"/>
      <c r="O117" s="115"/>
      <c r="P117" s="115"/>
      <c r="Q117" s="115"/>
      <c r="R117" s="115"/>
      <c r="S117" s="63"/>
    </row>
    <row r="118" spans="2:19" x14ac:dyDescent="0.25">
      <c r="B118" s="62" t="s">
        <v>17</v>
      </c>
      <c r="C118" s="107" t="str">
        <f>IF(C115=B128,VLOOKUP(C116,B129:C134,2,FALSE),IF(C115=B136,VLOOKUP(C116,B137:C139,2,FALSE),IF(C115=B141,VLOOKUP(C116,B142:C146,2,FALSE),IF(C115=B148,C148,"Incomplete Inputs"))))</f>
        <v>Incomplete Inputs</v>
      </c>
      <c r="D118" s="116" t="s">
        <v>331</v>
      </c>
      <c r="E118" s="115"/>
      <c r="F118" s="115"/>
      <c r="G118" s="115"/>
      <c r="H118" s="115"/>
      <c r="I118" s="115"/>
      <c r="J118" s="115"/>
      <c r="K118" s="115"/>
      <c r="L118" s="115"/>
      <c r="M118" s="115"/>
      <c r="N118" s="115"/>
      <c r="O118" s="115"/>
      <c r="P118" s="115"/>
      <c r="Q118" s="115"/>
      <c r="R118" s="115"/>
      <c r="S118" s="63"/>
    </row>
    <row r="119" spans="2:19" x14ac:dyDescent="0.25">
      <c r="B119" s="62" t="s">
        <v>327</v>
      </c>
      <c r="C119" s="107" t="str">
        <f>VLOOKUP(C117,F129:H132,3,TRUE)</f>
        <v>Input CapacityHeat</v>
      </c>
      <c r="D119" s="116" t="s">
        <v>348</v>
      </c>
      <c r="E119" s="115"/>
      <c r="F119" s="115"/>
      <c r="G119" s="115"/>
      <c r="H119" s="115"/>
      <c r="I119" s="115"/>
      <c r="J119" s="115"/>
      <c r="K119" s="115"/>
      <c r="L119" s="115"/>
      <c r="M119" s="115"/>
      <c r="N119" s="115"/>
      <c r="O119" s="115"/>
      <c r="P119" s="115"/>
      <c r="Q119" s="115"/>
      <c r="R119" s="115"/>
      <c r="S119" s="63"/>
    </row>
    <row r="120" spans="2:19" x14ac:dyDescent="0.25">
      <c r="B120" s="62"/>
      <c r="C120" s="115"/>
      <c r="D120" s="115"/>
      <c r="E120" s="115"/>
      <c r="F120" s="115"/>
      <c r="G120" s="115"/>
      <c r="H120" s="115"/>
      <c r="I120" s="115"/>
      <c r="J120" s="115"/>
      <c r="K120" s="115"/>
      <c r="L120" s="115"/>
      <c r="M120" s="115"/>
      <c r="N120" s="115"/>
      <c r="O120" s="115"/>
      <c r="P120" s="115"/>
      <c r="Q120" s="115"/>
      <c r="R120" s="115"/>
      <c r="S120" s="63"/>
    </row>
    <row r="121" spans="2:19" x14ac:dyDescent="0.25">
      <c r="B121" s="64" t="s">
        <v>421</v>
      </c>
      <c r="C121" s="115"/>
      <c r="D121" s="115" t="s">
        <v>340</v>
      </c>
      <c r="E121" s="115"/>
      <c r="F121" s="115"/>
      <c r="G121" s="115"/>
      <c r="H121" s="115"/>
      <c r="I121" s="115"/>
      <c r="J121" s="115"/>
      <c r="K121" s="115"/>
      <c r="L121" s="115"/>
      <c r="M121" s="115"/>
      <c r="N121" s="115"/>
      <c r="O121" s="115"/>
      <c r="P121" s="115"/>
      <c r="Q121" s="115"/>
      <c r="R121" s="115"/>
      <c r="S121" s="63"/>
    </row>
    <row r="122" spans="2:19" x14ac:dyDescent="0.25">
      <c r="B122" s="65" t="str">
        <f>IF(Inputs!C18="Electric","Air Source Heat Pump","Not Needed")</f>
        <v>Not Needed</v>
      </c>
      <c r="C122" s="116"/>
      <c r="D122" s="115" t="s">
        <v>343</v>
      </c>
      <c r="E122" s="115"/>
      <c r="F122" s="115"/>
      <c r="G122" s="115"/>
      <c r="H122" s="115"/>
      <c r="I122" s="115"/>
      <c r="J122" s="115"/>
      <c r="K122" s="115"/>
      <c r="L122" s="115"/>
      <c r="M122" s="115"/>
      <c r="N122" s="115"/>
      <c r="O122" s="115"/>
      <c r="P122" s="115"/>
      <c r="Q122" s="115"/>
      <c r="R122" s="115"/>
      <c r="S122" s="63"/>
    </row>
    <row r="123" spans="2:19" x14ac:dyDescent="0.25">
      <c r="B123" s="65" t="str">
        <f>IF(Inputs!C18="Electric","Ground Water Source HP","Not Needed")</f>
        <v>Not Needed</v>
      </c>
      <c r="C123" s="115"/>
      <c r="D123" s="115"/>
      <c r="E123" s="115"/>
      <c r="F123" s="115"/>
      <c r="G123" s="115"/>
      <c r="H123" s="115"/>
      <c r="I123" s="115"/>
      <c r="J123" s="115"/>
      <c r="K123" s="115"/>
      <c r="L123" s="115"/>
      <c r="M123" s="115"/>
      <c r="N123" s="115"/>
      <c r="O123" s="115"/>
      <c r="P123" s="115"/>
      <c r="Q123" s="115"/>
      <c r="R123" s="115"/>
      <c r="S123" s="63"/>
    </row>
    <row r="124" spans="2:19" x14ac:dyDescent="0.25">
      <c r="B124" s="65" t="str">
        <f>IF(Inputs!C18="Electric","Ground Source HP","Not Needed")</f>
        <v>Not Needed</v>
      </c>
      <c r="C124" s="115"/>
      <c r="D124" s="115"/>
      <c r="E124" s="115"/>
      <c r="F124" s="115"/>
      <c r="G124" s="115"/>
      <c r="H124" s="115"/>
      <c r="I124" s="115"/>
      <c r="J124" s="115"/>
      <c r="K124" s="115"/>
      <c r="L124" s="115"/>
      <c r="M124" s="115"/>
      <c r="N124" s="115"/>
      <c r="O124" s="115"/>
      <c r="P124" s="115"/>
      <c r="Q124" s="115"/>
      <c r="R124" s="115"/>
      <c r="S124" s="63"/>
    </row>
    <row r="125" spans="2:19" ht="15.75" thickBot="1" x14ac:dyDescent="0.3">
      <c r="B125" s="108" t="str">
        <f>IF(Inputs!C18="Electric","Electric Resistance","Not Needed")</f>
        <v>Not Needed</v>
      </c>
      <c r="C125" s="115"/>
      <c r="D125" s="115" t="s">
        <v>342</v>
      </c>
      <c r="E125" s="115"/>
      <c r="F125" s="115"/>
      <c r="G125" s="115"/>
      <c r="H125" s="115"/>
      <c r="I125" s="115"/>
      <c r="J125" s="115"/>
      <c r="K125" s="115"/>
      <c r="L125" s="115"/>
      <c r="M125" s="115"/>
      <c r="N125" s="115"/>
      <c r="O125" s="115"/>
      <c r="P125" s="115"/>
      <c r="Q125" s="115"/>
      <c r="R125" s="115"/>
      <c r="S125" s="63"/>
    </row>
    <row r="126" spans="2:19" x14ac:dyDescent="0.25">
      <c r="B126" s="62"/>
      <c r="C126" s="115"/>
      <c r="D126" s="115"/>
      <c r="E126" s="115"/>
      <c r="F126" s="115"/>
      <c r="G126" s="115"/>
      <c r="H126" s="115"/>
      <c r="I126" s="115"/>
      <c r="J126" s="319" t="s">
        <v>332</v>
      </c>
      <c r="K126" s="320"/>
      <c r="L126" s="312" t="s">
        <v>334</v>
      </c>
      <c r="M126" s="313"/>
      <c r="N126" s="313"/>
      <c r="O126" s="313"/>
      <c r="P126" s="313"/>
      <c r="Q126" s="313"/>
      <c r="R126" s="314"/>
      <c r="S126" s="63"/>
    </row>
    <row r="127" spans="2:19" ht="15.75" thickBot="1" x14ac:dyDescent="0.3">
      <c r="B127" s="62"/>
      <c r="C127" s="115"/>
      <c r="D127" s="115"/>
      <c r="E127" s="115"/>
      <c r="F127" s="115"/>
      <c r="G127" s="115"/>
      <c r="H127" s="115"/>
      <c r="I127" s="115"/>
      <c r="J127" s="321"/>
      <c r="K127" s="322"/>
      <c r="L127" s="310"/>
      <c r="M127" s="311"/>
      <c r="N127" s="311"/>
      <c r="O127" s="311"/>
      <c r="P127" s="311"/>
      <c r="Q127" s="311"/>
      <c r="R127" s="318"/>
      <c r="S127" s="63"/>
    </row>
    <row r="128" spans="2:19" x14ac:dyDescent="0.25">
      <c r="B128" s="48" t="s">
        <v>246</v>
      </c>
      <c r="C128" s="115" t="s">
        <v>328</v>
      </c>
      <c r="D128" s="115"/>
      <c r="E128" s="8" t="s">
        <v>262</v>
      </c>
      <c r="F128" s="8"/>
      <c r="G128" s="8" t="s">
        <v>345</v>
      </c>
      <c r="H128" s="8" t="s">
        <v>346</v>
      </c>
      <c r="I128" s="8" t="s">
        <v>329</v>
      </c>
      <c r="J128" s="115"/>
      <c r="K128" s="115"/>
      <c r="L128" s="310"/>
      <c r="M128" s="311"/>
      <c r="N128" s="311"/>
      <c r="O128" s="311"/>
      <c r="P128" s="311"/>
      <c r="Q128" s="311"/>
      <c r="R128" s="318"/>
      <c r="S128" s="63"/>
    </row>
    <row r="129" spans="2:19" x14ac:dyDescent="0.25">
      <c r="B129" s="64" t="s">
        <v>239</v>
      </c>
      <c r="C129" s="115" t="s">
        <v>340</v>
      </c>
      <c r="D129" s="115"/>
      <c r="E129" s="8"/>
      <c r="F129" s="8">
        <v>0</v>
      </c>
      <c r="G129" s="8" t="s">
        <v>336</v>
      </c>
      <c r="H129" s="8" t="s">
        <v>336</v>
      </c>
      <c r="I129" s="8"/>
      <c r="J129" s="115"/>
      <c r="K129" s="115"/>
      <c r="L129" s="310"/>
      <c r="M129" s="311"/>
      <c r="N129" s="311"/>
      <c r="O129" s="311"/>
      <c r="P129" s="311"/>
      <c r="Q129" s="311"/>
      <c r="R129" s="318"/>
      <c r="S129" s="63"/>
    </row>
    <row r="130" spans="2:19" x14ac:dyDescent="0.25">
      <c r="B130" s="70" t="s">
        <v>323</v>
      </c>
      <c r="C130" s="24" t="str">
        <f>VLOOKUP(C117,lookups!F129:G132,2,TRUE)</f>
        <v>Input CapacityHeat</v>
      </c>
      <c r="D130" s="115"/>
      <c r="E130" s="8" t="s">
        <v>248</v>
      </c>
      <c r="F130" s="8">
        <v>0.1</v>
      </c>
      <c r="G130" s="8">
        <v>8.1999999999999993</v>
      </c>
      <c r="H130" s="8">
        <v>8</v>
      </c>
      <c r="I130" s="8"/>
      <c r="J130" s="115"/>
      <c r="K130" s="115"/>
      <c r="L130" s="310"/>
      <c r="M130" s="311"/>
      <c r="N130" s="311"/>
      <c r="O130" s="311"/>
      <c r="P130" s="311"/>
      <c r="Q130" s="311"/>
      <c r="R130" s="318"/>
      <c r="S130" s="63"/>
    </row>
    <row r="131" spans="2:19" x14ac:dyDescent="0.25">
      <c r="B131" s="70" t="s">
        <v>322</v>
      </c>
      <c r="C131" s="24" t="str">
        <f>VLOOKUP(C117,lookups!F129:H132,3,TRUE)</f>
        <v>Input CapacityHeat</v>
      </c>
      <c r="D131" s="115"/>
      <c r="E131" s="8" t="s">
        <v>234</v>
      </c>
      <c r="F131" s="8">
        <v>65000</v>
      </c>
      <c r="G131" s="8">
        <f>I131*K134</f>
        <v>11.259599999999999</v>
      </c>
      <c r="H131" s="8">
        <f>I131*K134</f>
        <v>11.259599999999999</v>
      </c>
      <c r="I131" s="8">
        <f>IF(J126=Tables!N239,Tables!L241,IF(J126=Tables!N240,Tables!L242,Tables!N238))</f>
        <v>3.3</v>
      </c>
      <c r="J131" s="115"/>
      <c r="K131" s="115"/>
      <c r="L131" s="310"/>
      <c r="M131" s="311"/>
      <c r="N131" s="311"/>
      <c r="O131" s="311"/>
      <c r="P131" s="311"/>
      <c r="Q131" s="311"/>
      <c r="R131" s="318"/>
      <c r="S131" s="63"/>
    </row>
    <row r="132" spans="2:19" ht="15.75" thickBot="1" x14ac:dyDescent="0.3">
      <c r="B132" s="70" t="s">
        <v>324</v>
      </c>
      <c r="C132" s="8">
        <v>7.4</v>
      </c>
      <c r="D132" s="115"/>
      <c r="E132" s="8" t="s">
        <v>330</v>
      </c>
      <c r="F132" s="8">
        <v>135000</v>
      </c>
      <c r="G132" s="8">
        <f>I132*K134</f>
        <v>10.9184</v>
      </c>
      <c r="H132" s="8">
        <f>I132*K134</f>
        <v>10.9184</v>
      </c>
      <c r="I132" s="8">
        <f>IF(J126=Tables!N239,Tables!L243,IF(J126=Tables!N240,Tables!L244,Tables!N238))</f>
        <v>3.2</v>
      </c>
      <c r="J132" s="115"/>
      <c r="K132" s="115"/>
      <c r="L132" s="315"/>
      <c r="M132" s="316"/>
      <c r="N132" s="316"/>
      <c r="O132" s="316"/>
      <c r="P132" s="316"/>
      <c r="Q132" s="316"/>
      <c r="R132" s="317"/>
      <c r="S132" s="63"/>
    </row>
    <row r="133" spans="2:19" ht="15.75" thickBot="1" x14ac:dyDescent="0.3">
      <c r="B133" s="70" t="s">
        <v>325</v>
      </c>
      <c r="C133" s="8">
        <v>7.4</v>
      </c>
      <c r="D133" s="115"/>
      <c r="E133" s="115"/>
      <c r="F133" s="115"/>
      <c r="G133" s="115"/>
      <c r="H133" s="115"/>
      <c r="I133" s="115"/>
      <c r="J133" s="115"/>
      <c r="K133" s="115"/>
      <c r="L133" s="115"/>
      <c r="M133" s="115"/>
      <c r="N133" s="115"/>
      <c r="O133" s="115"/>
      <c r="P133" s="115"/>
      <c r="Q133" s="115"/>
      <c r="R133" s="115"/>
      <c r="S133" s="63"/>
    </row>
    <row r="134" spans="2:19" ht="15.75" thickBot="1" x14ac:dyDescent="0.3">
      <c r="B134" s="70" t="s">
        <v>319</v>
      </c>
      <c r="C134" s="8">
        <v>6.8</v>
      </c>
      <c r="D134" s="115"/>
      <c r="E134" s="115"/>
      <c r="F134" s="115"/>
      <c r="G134" s="115"/>
      <c r="H134" s="115"/>
      <c r="I134" s="115"/>
      <c r="J134" s="115"/>
      <c r="K134" s="101">
        <f>Inputs!C74</f>
        <v>3.4119999999999999</v>
      </c>
      <c r="L134" s="312" t="s">
        <v>337</v>
      </c>
      <c r="M134" s="313"/>
      <c r="N134" s="313"/>
      <c r="O134" s="313"/>
      <c r="P134" s="313"/>
      <c r="Q134" s="313"/>
      <c r="R134" s="314"/>
      <c r="S134" s="63"/>
    </row>
    <row r="135" spans="2:19" ht="15.75" thickBot="1" x14ac:dyDescent="0.3">
      <c r="B135" s="62"/>
      <c r="C135" s="115"/>
      <c r="D135" s="115"/>
      <c r="E135" s="115"/>
      <c r="F135" s="115"/>
      <c r="G135" s="115"/>
      <c r="H135" s="115"/>
      <c r="I135" s="115"/>
      <c r="J135" s="115"/>
      <c r="K135" s="115"/>
      <c r="L135" s="315"/>
      <c r="M135" s="316"/>
      <c r="N135" s="316"/>
      <c r="O135" s="316"/>
      <c r="P135" s="316"/>
      <c r="Q135" s="316"/>
      <c r="R135" s="317"/>
      <c r="S135" s="63"/>
    </row>
    <row r="136" spans="2:19" ht="14.45" customHeight="1" x14ac:dyDescent="0.25">
      <c r="B136" s="48" t="s">
        <v>320</v>
      </c>
      <c r="C136" s="115" t="s">
        <v>328</v>
      </c>
      <c r="D136" s="115" t="s">
        <v>329</v>
      </c>
      <c r="E136" s="115"/>
      <c r="F136" s="115"/>
      <c r="G136" s="115"/>
      <c r="H136" s="115"/>
      <c r="I136" s="115"/>
      <c r="J136" s="115"/>
      <c r="K136" s="115"/>
      <c r="L136" s="115"/>
      <c r="M136" s="115"/>
      <c r="N136" s="115"/>
      <c r="O136" s="115"/>
      <c r="P136" s="115"/>
      <c r="Q136" s="115"/>
      <c r="R136" s="115"/>
      <c r="S136" s="63"/>
    </row>
    <row r="137" spans="2:19" x14ac:dyDescent="0.25">
      <c r="B137" s="69" t="s">
        <v>239</v>
      </c>
      <c r="C137" s="115" t="s">
        <v>340</v>
      </c>
      <c r="D137" s="115"/>
      <c r="E137" s="115"/>
      <c r="F137" s="115"/>
      <c r="G137" s="115"/>
      <c r="H137" s="115"/>
      <c r="I137" s="115"/>
      <c r="J137" s="115"/>
      <c r="K137" s="115"/>
      <c r="L137" s="115"/>
      <c r="M137" s="115"/>
      <c r="N137" s="115"/>
      <c r="O137" s="115"/>
      <c r="P137" s="115"/>
      <c r="Q137" s="115"/>
      <c r="R137" s="115"/>
      <c r="S137" s="63"/>
    </row>
    <row r="138" spans="2:19" x14ac:dyDescent="0.25">
      <c r="B138" s="48" t="s">
        <v>228</v>
      </c>
      <c r="C138" s="102">
        <f>D138*K$134</f>
        <v>12.6244</v>
      </c>
      <c r="D138" s="8">
        <f>Tables!L246</f>
        <v>3.7</v>
      </c>
      <c r="E138" s="115"/>
      <c r="F138" s="115" t="str">
        <f>IF(B39=lookups!B123,lookups!B129:B134,IF(B39=lookups!B124,lookups!B137:B139,IF(B39=lookups!B125,lookups!B142:B146,"Incomplete Inputs")))</f>
        <v>Incomplete Inputs</v>
      </c>
      <c r="G138" s="115"/>
      <c r="H138" s="115"/>
      <c r="I138" s="115"/>
      <c r="J138" s="115"/>
      <c r="K138" s="115"/>
      <c r="L138" s="115"/>
      <c r="M138" s="115"/>
      <c r="N138" s="115"/>
      <c r="O138" s="115"/>
      <c r="P138" s="115"/>
      <c r="Q138" s="115"/>
      <c r="R138" s="115"/>
      <c r="S138" s="63"/>
    </row>
    <row r="139" spans="2:19" x14ac:dyDescent="0.25">
      <c r="B139" s="48" t="s">
        <v>229</v>
      </c>
      <c r="C139" s="102">
        <f t="shared" ref="C139" si="1">D139*K$134</f>
        <v>10.577199999999999</v>
      </c>
      <c r="D139" s="8">
        <f>Tables!L247</f>
        <v>3.1</v>
      </c>
      <c r="E139" s="115"/>
      <c r="F139" s="115"/>
      <c r="G139" s="115"/>
      <c r="H139" s="115"/>
      <c r="I139" s="115"/>
      <c r="J139" s="115"/>
      <c r="K139" s="115"/>
      <c r="L139" s="115"/>
      <c r="M139" s="115"/>
      <c r="N139" s="115"/>
      <c r="O139" s="115"/>
      <c r="P139" s="115"/>
      <c r="Q139" s="115"/>
      <c r="R139" s="115"/>
      <c r="S139" s="63"/>
    </row>
    <row r="140" spans="2:19" x14ac:dyDescent="0.25">
      <c r="B140" s="62"/>
      <c r="C140" s="115"/>
      <c r="D140" s="115"/>
      <c r="E140" s="115"/>
      <c r="F140" s="115"/>
      <c r="G140" s="115"/>
      <c r="H140" s="115"/>
      <c r="I140" s="115"/>
      <c r="J140" s="115"/>
      <c r="K140" s="115"/>
      <c r="L140" s="115"/>
      <c r="M140" s="115"/>
      <c r="N140" s="115"/>
      <c r="O140" s="115"/>
      <c r="P140" s="115"/>
      <c r="Q140" s="115"/>
      <c r="R140" s="115"/>
      <c r="S140" s="63"/>
    </row>
    <row r="141" spans="2:19" x14ac:dyDescent="0.25">
      <c r="B141" s="48" t="s">
        <v>321</v>
      </c>
      <c r="C141" s="115" t="s">
        <v>328</v>
      </c>
      <c r="D141" s="115" t="s">
        <v>329</v>
      </c>
      <c r="E141" s="115"/>
      <c r="F141" s="115"/>
      <c r="G141" s="115"/>
      <c r="H141" s="115"/>
      <c r="I141" s="115"/>
      <c r="J141" s="115"/>
      <c r="K141" s="115"/>
      <c r="L141" s="115"/>
      <c r="M141" s="115"/>
      <c r="N141" s="115"/>
      <c r="O141" s="115"/>
      <c r="P141" s="115"/>
      <c r="Q141" s="115"/>
      <c r="R141" s="115"/>
      <c r="S141" s="63"/>
    </row>
    <row r="142" spans="2:19" x14ac:dyDescent="0.25">
      <c r="B142" s="69" t="s">
        <v>239</v>
      </c>
      <c r="C142" s="115" t="s">
        <v>340</v>
      </c>
      <c r="D142" s="115"/>
      <c r="E142" s="115"/>
      <c r="F142" s="115"/>
      <c r="G142" s="115"/>
      <c r="H142" s="115"/>
      <c r="I142" s="115"/>
      <c r="J142" s="115"/>
      <c r="K142" s="115"/>
      <c r="L142" s="115"/>
      <c r="M142" s="115"/>
      <c r="N142" s="115"/>
      <c r="O142" s="115"/>
      <c r="P142" s="115"/>
      <c r="Q142" s="115"/>
      <c r="R142" s="115"/>
      <c r="S142" s="63"/>
    </row>
    <row r="143" spans="2:19" x14ac:dyDescent="0.25">
      <c r="B143" s="48" t="s">
        <v>242</v>
      </c>
      <c r="C143" s="102">
        <f>D143*K$134</f>
        <v>14.6716</v>
      </c>
      <c r="D143" s="8">
        <f>Tables!L248</f>
        <v>4.3</v>
      </c>
      <c r="E143" s="115"/>
      <c r="F143" s="115"/>
      <c r="G143" s="115"/>
      <c r="H143" s="115"/>
      <c r="I143" s="115"/>
      <c r="J143" s="115"/>
      <c r="K143" s="115"/>
      <c r="L143" s="115"/>
      <c r="M143" s="115"/>
      <c r="N143" s="115"/>
      <c r="O143" s="115"/>
      <c r="P143" s="115"/>
      <c r="Q143" s="115"/>
      <c r="R143" s="115"/>
      <c r="S143" s="63"/>
    </row>
    <row r="144" spans="2:19" ht="14.45" customHeight="1" x14ac:dyDescent="0.25">
      <c r="B144" s="48" t="s">
        <v>244</v>
      </c>
      <c r="C144" s="102">
        <f t="shared" ref="C144:C146" si="2">D144*K$134</f>
        <v>10.9184</v>
      </c>
      <c r="D144" s="8">
        <f>Tables!L249</f>
        <v>3.2</v>
      </c>
      <c r="E144" s="115"/>
      <c r="F144" s="115"/>
      <c r="G144" s="115"/>
      <c r="H144" s="115"/>
      <c r="I144" s="115"/>
      <c r="J144" s="115"/>
      <c r="K144" s="115"/>
      <c r="L144" s="115"/>
      <c r="M144" s="115"/>
      <c r="N144" s="115"/>
      <c r="O144" s="115"/>
      <c r="P144" s="115"/>
      <c r="Q144" s="115"/>
      <c r="R144" s="115"/>
      <c r="S144" s="63"/>
    </row>
    <row r="145" spans="2:19" x14ac:dyDescent="0.25">
      <c r="B145" s="48" t="s">
        <v>243</v>
      </c>
      <c r="C145" s="102">
        <f t="shared" si="2"/>
        <v>12.6244</v>
      </c>
      <c r="D145" s="8">
        <f>Tables!L250</f>
        <v>3.7</v>
      </c>
      <c r="E145" s="115"/>
      <c r="F145" s="115"/>
      <c r="G145" s="115"/>
      <c r="H145" s="115"/>
      <c r="I145" s="115"/>
      <c r="J145" s="115"/>
      <c r="K145" s="115"/>
      <c r="L145" s="115"/>
      <c r="M145" s="115"/>
      <c r="N145" s="115"/>
      <c r="O145" s="115"/>
      <c r="P145" s="115"/>
      <c r="Q145" s="115"/>
      <c r="R145" s="115"/>
      <c r="S145" s="63"/>
    </row>
    <row r="146" spans="2:19" x14ac:dyDescent="0.25">
      <c r="B146" s="48" t="s">
        <v>245</v>
      </c>
      <c r="C146" s="102">
        <f t="shared" si="2"/>
        <v>8.5299999999999994</v>
      </c>
      <c r="D146" s="8">
        <f>Tables!L251</f>
        <v>2.5</v>
      </c>
      <c r="E146" s="115"/>
      <c r="F146" s="115"/>
      <c r="G146" s="115"/>
      <c r="H146" s="115"/>
      <c r="I146" s="115"/>
      <c r="J146" s="115"/>
      <c r="K146" s="115"/>
      <c r="L146" s="16"/>
      <c r="M146" s="16"/>
      <c r="N146" s="16"/>
      <c r="O146" s="16"/>
      <c r="P146" s="16"/>
      <c r="Q146" s="16"/>
      <c r="R146" s="16"/>
      <c r="S146" s="63"/>
    </row>
    <row r="147" spans="2:19" x14ac:dyDescent="0.25">
      <c r="B147" s="62"/>
      <c r="C147" s="115"/>
      <c r="D147" s="115"/>
      <c r="E147" s="115"/>
      <c r="F147" s="115"/>
      <c r="G147" s="115"/>
      <c r="H147" s="115"/>
      <c r="I147" s="115"/>
      <c r="J147" s="115"/>
      <c r="K147" s="115"/>
      <c r="L147" s="115"/>
      <c r="M147" s="115"/>
      <c r="N147" s="115"/>
      <c r="O147" s="115"/>
      <c r="P147" s="115"/>
      <c r="Q147" s="115"/>
      <c r="R147" s="115"/>
      <c r="S147" s="63"/>
    </row>
    <row r="148" spans="2:19" x14ac:dyDescent="0.25">
      <c r="B148" s="48" t="s">
        <v>341</v>
      </c>
      <c r="C148" s="8">
        <v>3.4119999999999999</v>
      </c>
      <c r="D148" s="115"/>
      <c r="E148" s="115"/>
      <c r="F148" s="115"/>
      <c r="G148" s="115"/>
      <c r="H148" s="115"/>
      <c r="I148" s="115"/>
      <c r="J148" s="115"/>
      <c r="K148" s="115"/>
      <c r="L148" s="115"/>
      <c r="M148" s="115"/>
      <c r="N148" s="115"/>
      <c r="O148" s="115"/>
      <c r="P148" s="115"/>
      <c r="Q148" s="115"/>
      <c r="R148" s="115"/>
      <c r="S148" s="63"/>
    </row>
    <row r="149" spans="2:19" ht="15.75" thickBot="1" x14ac:dyDescent="0.3">
      <c r="B149" s="71"/>
      <c r="C149" s="72"/>
      <c r="D149" s="72"/>
      <c r="E149" s="72"/>
      <c r="F149" s="72"/>
      <c r="G149" s="72"/>
      <c r="H149" s="72"/>
      <c r="I149" s="72"/>
      <c r="J149" s="72"/>
      <c r="K149" s="72"/>
      <c r="L149" s="72"/>
      <c r="M149" s="72"/>
      <c r="N149" s="72"/>
      <c r="O149" s="72"/>
      <c r="P149" s="72"/>
      <c r="Q149" s="72"/>
      <c r="R149" s="72"/>
      <c r="S149" s="73"/>
    </row>
    <row r="150" spans="2:19" x14ac:dyDescent="0.25">
      <c r="B150" s="84"/>
    </row>
    <row r="151" spans="2:19" ht="15.75" thickBot="1" x14ac:dyDescent="0.3">
      <c r="B151" s="84"/>
    </row>
    <row r="152" spans="2:19" x14ac:dyDescent="0.25">
      <c r="B152" s="76" t="s">
        <v>410</v>
      </c>
      <c r="C152" s="60"/>
      <c r="D152" s="60"/>
      <c r="E152" s="60"/>
      <c r="F152" s="60"/>
      <c r="G152" s="60"/>
      <c r="H152" s="60"/>
      <c r="I152" s="60"/>
      <c r="J152" s="60"/>
      <c r="K152" s="60"/>
      <c r="L152" s="60"/>
      <c r="M152" s="60"/>
      <c r="N152" s="60"/>
      <c r="O152" s="60"/>
      <c r="P152" s="60"/>
      <c r="Q152" s="60"/>
      <c r="R152" s="60"/>
      <c r="S152" s="61"/>
    </row>
    <row r="153" spans="2:19" x14ac:dyDescent="0.25">
      <c r="B153" s="145" t="s">
        <v>411</v>
      </c>
      <c r="C153" s="115"/>
      <c r="D153" s="115"/>
      <c r="E153" s="115"/>
      <c r="F153" s="115"/>
      <c r="G153" s="115"/>
      <c r="H153" s="115"/>
      <c r="I153" s="115"/>
      <c r="J153" s="115"/>
      <c r="K153" s="115"/>
      <c r="L153" s="115"/>
      <c r="M153" s="115"/>
      <c r="N153" s="115"/>
      <c r="O153" s="115"/>
      <c r="P153" s="115"/>
      <c r="Q153" s="115"/>
      <c r="R153" s="115"/>
      <c r="S153" s="63"/>
    </row>
    <row r="154" spans="2:19" x14ac:dyDescent="0.25">
      <c r="B154" s="145"/>
      <c r="C154" s="115"/>
      <c r="D154" s="115"/>
      <c r="E154" s="115"/>
      <c r="F154" s="115"/>
      <c r="G154" s="115"/>
      <c r="H154" s="115"/>
      <c r="I154" s="115"/>
      <c r="J154" s="115"/>
      <c r="K154" s="115"/>
      <c r="L154" s="115"/>
      <c r="M154" s="115"/>
      <c r="N154" s="115"/>
      <c r="O154" s="115"/>
      <c r="P154" s="115"/>
      <c r="Q154" s="115"/>
      <c r="R154" s="115"/>
      <c r="S154" s="63"/>
    </row>
    <row r="155" spans="2:19" x14ac:dyDescent="0.25">
      <c r="B155" s="62" t="s">
        <v>338</v>
      </c>
      <c r="C155" s="115" t="str">
        <f>Inputs!B38</f>
        <v>-Existing Gas System Type-</v>
      </c>
      <c r="D155" s="115"/>
      <c r="E155" s="115"/>
      <c r="F155" s="115"/>
      <c r="G155" s="115"/>
      <c r="H155" s="115"/>
      <c r="I155" s="115"/>
      <c r="J155" s="115"/>
      <c r="K155" s="115"/>
      <c r="L155" s="115"/>
      <c r="M155" s="115"/>
      <c r="N155" s="115"/>
      <c r="O155" s="115"/>
      <c r="P155" s="115"/>
      <c r="Q155" s="115"/>
      <c r="R155" s="115"/>
      <c r="S155" s="63"/>
    </row>
    <row r="156" spans="2:19" x14ac:dyDescent="0.25">
      <c r="B156" s="62" t="s">
        <v>339</v>
      </c>
      <c r="C156" s="115" t="str">
        <f>Inputs!C38</f>
        <v>-System Subtype-</v>
      </c>
      <c r="D156" s="115"/>
      <c r="E156" s="115"/>
      <c r="F156" s="115"/>
      <c r="G156" s="115"/>
      <c r="H156" s="115"/>
      <c r="I156" s="115"/>
      <c r="J156" s="115"/>
      <c r="K156" s="115"/>
      <c r="L156" s="115"/>
      <c r="M156" s="115"/>
      <c r="N156" s="115"/>
      <c r="O156" s="115"/>
      <c r="P156" s="115"/>
      <c r="Q156" s="115"/>
      <c r="R156" s="115"/>
      <c r="S156" s="63"/>
    </row>
    <row r="157" spans="2:19" x14ac:dyDescent="0.25">
      <c r="B157" s="62" t="s">
        <v>15</v>
      </c>
      <c r="C157" s="115">
        <f>Inputs!C47</f>
        <v>0</v>
      </c>
      <c r="D157" s="115"/>
      <c r="E157" s="115"/>
      <c r="F157" s="115"/>
      <c r="G157" s="115"/>
      <c r="H157" s="115"/>
      <c r="I157" s="115"/>
      <c r="J157" s="115"/>
      <c r="K157" s="115"/>
      <c r="L157" s="115"/>
      <c r="M157" s="115"/>
      <c r="N157" s="115"/>
      <c r="O157" s="115"/>
      <c r="P157" s="115"/>
      <c r="Q157" s="115"/>
      <c r="R157" s="115"/>
      <c r="S157" s="63"/>
    </row>
    <row r="158" spans="2:19" x14ac:dyDescent="0.25">
      <c r="B158" s="62" t="s">
        <v>369</v>
      </c>
      <c r="C158" s="139" t="e">
        <f>VLOOKUP(C155,Tables!I300:L306,Tables!O297,FALSE)</f>
        <v>#N/A</v>
      </c>
      <c r="D158" s="115"/>
      <c r="E158" s="115"/>
      <c r="F158" s="115"/>
      <c r="G158" s="115"/>
      <c r="H158" s="115"/>
      <c r="I158" s="115"/>
      <c r="J158" s="115"/>
      <c r="K158" s="115"/>
      <c r="L158" s="115"/>
      <c r="M158" s="115"/>
      <c r="N158" s="115"/>
      <c r="O158" s="115"/>
      <c r="P158" s="115"/>
      <c r="Q158" s="115"/>
      <c r="R158" s="115"/>
      <c r="S158" s="63"/>
    </row>
    <row r="159" spans="2:19" x14ac:dyDescent="0.25">
      <c r="B159" s="62"/>
      <c r="C159" s="107"/>
      <c r="D159" s="115"/>
      <c r="E159" s="115"/>
      <c r="F159" s="115"/>
      <c r="G159" s="115"/>
      <c r="H159" s="115"/>
      <c r="I159" s="115"/>
      <c r="J159" s="115"/>
      <c r="K159" s="115"/>
      <c r="L159" s="115"/>
      <c r="M159" s="115"/>
      <c r="N159" s="115"/>
      <c r="O159" s="115"/>
      <c r="P159" s="115"/>
      <c r="Q159" s="115"/>
      <c r="R159" s="115"/>
      <c r="S159" s="63"/>
    </row>
    <row r="160" spans="2:19" x14ac:dyDescent="0.25">
      <c r="B160" s="145"/>
      <c r="C160" s="115"/>
      <c r="D160" s="115"/>
      <c r="E160" s="115"/>
      <c r="F160" s="115"/>
      <c r="G160" s="115"/>
      <c r="H160" s="115"/>
      <c r="I160" s="115"/>
      <c r="J160" s="115"/>
      <c r="K160" s="115"/>
      <c r="L160" s="115"/>
      <c r="M160" s="115"/>
      <c r="N160" s="115"/>
      <c r="O160" s="115"/>
      <c r="P160" s="115"/>
      <c r="Q160" s="115"/>
      <c r="R160" s="115"/>
      <c r="S160" s="63"/>
    </row>
    <row r="161" spans="2:19" x14ac:dyDescent="0.25">
      <c r="B161" s="146"/>
      <c r="C161" s="115"/>
      <c r="D161" s="115"/>
      <c r="E161" s="115"/>
      <c r="F161" s="115"/>
      <c r="G161" s="115"/>
      <c r="H161" s="115"/>
      <c r="I161" s="115"/>
      <c r="J161" s="115"/>
      <c r="K161" s="115"/>
      <c r="L161" s="115"/>
      <c r="M161" s="115"/>
      <c r="N161" s="115"/>
      <c r="O161" s="115"/>
      <c r="P161" s="115"/>
      <c r="Q161" s="115"/>
      <c r="R161" s="115"/>
      <c r="S161" s="63"/>
    </row>
    <row r="162" spans="2:19" x14ac:dyDescent="0.25">
      <c r="B162" s="64" t="s">
        <v>419</v>
      </c>
      <c r="C162" s="115"/>
      <c r="D162" s="115"/>
      <c r="E162" s="115"/>
      <c r="F162" s="115"/>
      <c r="G162" s="115"/>
      <c r="H162" s="115"/>
      <c r="I162" s="115"/>
      <c r="J162" s="115"/>
      <c r="K162" s="115"/>
      <c r="L162" s="115"/>
      <c r="M162" s="115"/>
      <c r="N162" s="115"/>
      <c r="O162" s="115"/>
      <c r="P162" s="115"/>
      <c r="Q162" s="115"/>
      <c r="R162" s="115"/>
      <c r="S162" s="63"/>
    </row>
    <row r="163" spans="2:19" x14ac:dyDescent="0.25">
      <c r="B163" s="65" t="str">
        <f>IF(Inputs!C$18="Gas",Tables!I300,"Not Needed")</f>
        <v>Not Needed</v>
      </c>
      <c r="C163" s="115"/>
      <c r="D163" s="115"/>
      <c r="E163" s="115"/>
      <c r="F163" s="115"/>
      <c r="G163" s="115"/>
      <c r="H163" s="115"/>
      <c r="I163" s="115"/>
      <c r="J163" s="115"/>
      <c r="K163" s="115"/>
      <c r="L163" s="115"/>
      <c r="M163" s="115"/>
      <c r="N163" s="115"/>
      <c r="O163" s="115"/>
      <c r="P163" s="115"/>
      <c r="Q163" s="115"/>
      <c r="R163" s="115"/>
      <c r="S163" s="63"/>
    </row>
    <row r="164" spans="2:19" x14ac:dyDescent="0.25">
      <c r="B164" s="65" t="str">
        <f>IF(Inputs!C$18="Gas",Tables!I301,"Not Needed")</f>
        <v>Not Needed</v>
      </c>
      <c r="C164" s="115"/>
      <c r="D164" s="115"/>
      <c r="E164" s="115"/>
      <c r="F164" s="115" t="s">
        <v>417</v>
      </c>
      <c r="G164" s="115"/>
      <c r="H164" s="115"/>
      <c r="I164" s="115"/>
      <c r="J164" s="115"/>
      <c r="K164" s="115"/>
      <c r="L164" s="115"/>
      <c r="M164" s="115"/>
      <c r="N164" s="115"/>
      <c r="O164" s="115"/>
      <c r="P164" s="115"/>
      <c r="Q164" s="115"/>
      <c r="R164" s="115"/>
      <c r="S164" s="63"/>
    </row>
    <row r="165" spans="2:19" x14ac:dyDescent="0.25">
      <c r="B165" s="65" t="str">
        <f>IF(Inputs!C$18="Gas",Tables!I302,"Not Needed")</f>
        <v>Not Needed</v>
      </c>
      <c r="C165" s="115"/>
      <c r="D165" s="115"/>
      <c r="E165" s="115"/>
      <c r="F165" s="115" t="s">
        <v>405</v>
      </c>
      <c r="G165" s="115"/>
      <c r="H165" s="115"/>
      <c r="I165" s="115"/>
      <c r="J165" s="115"/>
      <c r="K165" s="115"/>
      <c r="L165" s="115"/>
      <c r="M165" s="115"/>
      <c r="N165" s="115"/>
      <c r="O165" s="115"/>
      <c r="P165" s="115"/>
      <c r="Q165" s="115"/>
      <c r="R165" s="115"/>
      <c r="S165" s="63"/>
    </row>
    <row r="166" spans="2:19" x14ac:dyDescent="0.25">
      <c r="B166" s="65" t="str">
        <f>IF(Inputs!C$18="Gas",Tables!I303,"Not Needed")</f>
        <v>Not Needed</v>
      </c>
      <c r="C166" s="115"/>
      <c r="D166" s="115"/>
      <c r="E166" s="115"/>
      <c r="F166" s="115" t="s">
        <v>406</v>
      </c>
      <c r="G166" s="115"/>
      <c r="H166" s="115"/>
      <c r="I166" s="115"/>
      <c r="J166" s="115"/>
      <c r="K166" s="115"/>
      <c r="L166" s="115"/>
      <c r="M166" s="115"/>
      <c r="N166" s="115"/>
      <c r="O166" s="115"/>
      <c r="P166" s="115"/>
      <c r="Q166" s="115"/>
      <c r="R166" s="115"/>
      <c r="S166" s="63"/>
    </row>
    <row r="167" spans="2:19" x14ac:dyDescent="0.25">
      <c r="B167" s="65" t="str">
        <f>IF(Inputs!C$18="Gas",Tables!I304,"Not Needed")</f>
        <v>Not Needed</v>
      </c>
      <c r="C167" s="115"/>
      <c r="D167" s="115"/>
      <c r="E167" s="115"/>
      <c r="F167" s="115" t="s">
        <v>407</v>
      </c>
      <c r="G167" s="115"/>
      <c r="H167" s="115"/>
      <c r="I167" s="115"/>
      <c r="J167" s="115"/>
      <c r="K167" s="115"/>
      <c r="L167" s="115"/>
      <c r="M167" s="115"/>
      <c r="N167" s="115"/>
      <c r="O167" s="115"/>
      <c r="P167" s="115"/>
      <c r="Q167" s="115"/>
      <c r="R167" s="115"/>
      <c r="S167" s="63"/>
    </row>
    <row r="168" spans="2:19" x14ac:dyDescent="0.25">
      <c r="B168" s="65" t="str">
        <f>IF(Inputs!C$18="Gas",Tables!I305,"Not Needed")</f>
        <v>Not Needed</v>
      </c>
      <c r="C168" s="115"/>
      <c r="D168" s="115"/>
      <c r="E168" s="115"/>
      <c r="F168" s="115"/>
      <c r="G168" s="115"/>
      <c r="H168" s="115"/>
      <c r="I168" s="115"/>
      <c r="J168" s="115"/>
      <c r="K168" s="115"/>
      <c r="L168" s="115"/>
      <c r="M168" s="115"/>
      <c r="N168" s="115"/>
      <c r="O168" s="115"/>
      <c r="P168" s="115"/>
      <c r="Q168" s="115"/>
      <c r="R168" s="115"/>
      <c r="S168" s="63"/>
    </row>
    <row r="169" spans="2:19" x14ac:dyDescent="0.25">
      <c r="B169" s="108" t="str">
        <f>IF(Inputs!C$18="Gas",Tables!I306,"Not Needed")</f>
        <v>Not Needed</v>
      </c>
      <c r="C169" s="115"/>
      <c r="D169" s="115"/>
      <c r="E169" s="115"/>
      <c r="F169" s="115" t="s">
        <v>416</v>
      </c>
      <c r="G169" s="115"/>
      <c r="H169" s="115"/>
      <c r="I169" s="115"/>
      <c r="J169" s="115"/>
      <c r="K169" s="115"/>
      <c r="L169" s="115"/>
      <c r="M169" s="115"/>
      <c r="N169" s="115"/>
      <c r="O169" s="115"/>
      <c r="P169" s="115"/>
      <c r="Q169" s="115"/>
      <c r="R169" s="115"/>
      <c r="S169" s="63"/>
    </row>
    <row r="170" spans="2:19" x14ac:dyDescent="0.25">
      <c r="B170" s="62"/>
      <c r="C170" s="115"/>
      <c r="D170" s="115"/>
      <c r="E170" s="115"/>
      <c r="F170" s="115" t="s">
        <v>408</v>
      </c>
      <c r="G170" s="115"/>
      <c r="H170" s="115"/>
      <c r="I170" s="115"/>
      <c r="J170" s="115"/>
      <c r="K170" s="115"/>
      <c r="L170" s="115"/>
      <c r="M170" s="115"/>
      <c r="N170" s="115"/>
      <c r="O170" s="115"/>
      <c r="P170" s="115"/>
      <c r="Q170" s="115"/>
      <c r="R170" s="115"/>
      <c r="S170" s="63"/>
    </row>
    <row r="171" spans="2:19" x14ac:dyDescent="0.25">
      <c r="B171" s="62"/>
      <c r="C171" s="115"/>
      <c r="D171" s="115"/>
      <c r="E171" s="115"/>
      <c r="F171" s="115" t="s">
        <v>409</v>
      </c>
      <c r="G171" s="115"/>
      <c r="H171" s="115"/>
      <c r="I171" s="115"/>
      <c r="J171" s="115"/>
      <c r="K171" s="115"/>
      <c r="L171" s="115"/>
      <c r="M171" s="115"/>
      <c r="N171" s="115"/>
      <c r="O171" s="115"/>
      <c r="P171" s="115"/>
      <c r="Q171" s="115"/>
      <c r="R171" s="115"/>
      <c r="S171" s="63"/>
    </row>
    <row r="172" spans="2:19" x14ac:dyDescent="0.25">
      <c r="B172" s="64" t="s">
        <v>420</v>
      </c>
      <c r="C172" s="115"/>
      <c r="D172" s="115"/>
      <c r="E172" s="115"/>
      <c r="F172" s="147" t="s">
        <v>418</v>
      </c>
      <c r="G172" s="115"/>
      <c r="H172" s="115"/>
      <c r="I172" s="115"/>
      <c r="J172" s="115"/>
      <c r="K172" s="115"/>
      <c r="L172" s="115"/>
      <c r="M172" s="115"/>
      <c r="N172" s="115"/>
      <c r="O172" s="115"/>
      <c r="P172" s="115"/>
      <c r="Q172" s="115"/>
      <c r="R172" s="115"/>
      <c r="S172" s="63"/>
    </row>
    <row r="173" spans="2:19" x14ac:dyDescent="0.25">
      <c r="B173" s="65" t="str">
        <f>IF(OR(C155=B163,C155=B164,C155=B165,C155=B166),F165,IF(OR(C155=B167,C155=B168,C155=B169),F170,"Incomplete Inputs"))</f>
        <v>Incomplete Inputs</v>
      </c>
      <c r="C173" s="115"/>
      <c r="D173" s="115"/>
      <c r="E173" s="115"/>
      <c r="F173" s="115"/>
      <c r="G173" s="115"/>
      <c r="H173" s="115"/>
      <c r="I173" s="115"/>
      <c r="J173" s="115"/>
      <c r="K173" s="115"/>
      <c r="L173" s="115"/>
      <c r="M173" s="115"/>
      <c r="N173" s="115"/>
      <c r="O173" s="115"/>
      <c r="P173" s="115"/>
      <c r="Q173" s="115"/>
      <c r="R173" s="115"/>
      <c r="S173" s="63"/>
    </row>
    <row r="174" spans="2:19" x14ac:dyDescent="0.25">
      <c r="B174" s="65" t="str">
        <f>IF(OR(C155=B163,C155=B164,C155=B165,C155=B166),F166,IF(OR(C155=B167,C155=B168,C155=B169),F171,"Incomplete Inputs"))</f>
        <v>Incomplete Inputs</v>
      </c>
      <c r="C174" s="115"/>
      <c r="D174" s="115"/>
      <c r="E174" s="115"/>
      <c r="F174" s="115"/>
      <c r="G174" s="115"/>
      <c r="H174" s="115"/>
      <c r="I174" s="115"/>
      <c r="J174" s="115"/>
      <c r="K174" s="115"/>
      <c r="L174" s="115"/>
      <c r="M174" s="115"/>
      <c r="N174" s="115"/>
      <c r="O174" s="115"/>
      <c r="P174" s="115"/>
      <c r="Q174" s="115"/>
      <c r="R174" s="115"/>
      <c r="S174" s="63"/>
    </row>
    <row r="175" spans="2:19" x14ac:dyDescent="0.25">
      <c r="B175" s="108" t="str">
        <f>IF(OR(C155=B163,C155=B164,C155=B165,C155=B166),F167,IF(OR(C155=B167,C155=B168,C155=B169),F172,"Incomplete Inputs"))</f>
        <v>Incomplete Inputs</v>
      </c>
      <c r="C175" s="115"/>
      <c r="D175" s="115"/>
      <c r="E175" s="115"/>
      <c r="F175" s="115"/>
      <c r="G175" s="115"/>
      <c r="H175" s="115"/>
      <c r="I175" s="115"/>
      <c r="J175" s="115"/>
      <c r="K175" s="115"/>
      <c r="L175" s="115"/>
      <c r="M175" s="115"/>
      <c r="N175" s="115"/>
      <c r="O175" s="115"/>
      <c r="P175" s="115"/>
      <c r="Q175" s="115"/>
      <c r="R175" s="115"/>
      <c r="S175" s="63"/>
    </row>
    <row r="176" spans="2:19" x14ac:dyDescent="0.25">
      <c r="B176" s="62"/>
      <c r="C176" s="115"/>
      <c r="D176" s="115"/>
      <c r="E176" s="115"/>
      <c r="F176" s="115"/>
      <c r="G176" s="115"/>
      <c r="H176" s="115"/>
      <c r="I176" s="115"/>
      <c r="J176" s="115"/>
      <c r="K176" s="115"/>
      <c r="L176" s="115"/>
      <c r="M176" s="115"/>
      <c r="N176" s="115"/>
      <c r="O176" s="115"/>
      <c r="P176" s="115"/>
      <c r="Q176" s="115"/>
      <c r="R176" s="115"/>
      <c r="S176" s="63"/>
    </row>
    <row r="177" spans="2:19" ht="15.75" thickBot="1" x14ac:dyDescent="0.3">
      <c r="B177" s="71"/>
      <c r="C177" s="72"/>
      <c r="D177" s="72"/>
      <c r="E177" s="72"/>
      <c r="F177" s="72"/>
      <c r="G177" s="72"/>
      <c r="H177" s="72"/>
      <c r="I177" s="72"/>
      <c r="J177" s="72"/>
      <c r="K177" s="72"/>
      <c r="L177" s="72"/>
      <c r="M177" s="72"/>
      <c r="N177" s="72"/>
      <c r="O177" s="72"/>
      <c r="P177" s="72"/>
      <c r="Q177" s="72"/>
      <c r="R177" s="72"/>
      <c r="S177" s="73"/>
    </row>
    <row r="179" spans="2:19" ht="15.75" thickBot="1" x14ac:dyDescent="0.3"/>
    <row r="180" spans="2:19" x14ac:dyDescent="0.25">
      <c r="B180" s="76" t="s">
        <v>375</v>
      </c>
      <c r="C180" s="60"/>
      <c r="D180" s="60"/>
      <c r="E180" s="60"/>
      <c r="F180" s="60"/>
      <c r="G180" s="60"/>
      <c r="H180" s="60"/>
      <c r="I180" s="60"/>
      <c r="J180" s="60"/>
      <c r="K180" s="60"/>
      <c r="L180" s="60"/>
      <c r="M180" s="60"/>
      <c r="N180" s="60"/>
      <c r="O180" s="60"/>
      <c r="P180" s="60"/>
      <c r="Q180" s="60"/>
      <c r="R180" s="60"/>
      <c r="S180" s="61"/>
    </row>
    <row r="181" spans="2:19" x14ac:dyDescent="0.25">
      <c r="B181" s="310" t="s">
        <v>388</v>
      </c>
      <c r="C181" s="311"/>
      <c r="D181" s="311"/>
      <c r="E181" s="311"/>
      <c r="F181" s="311"/>
      <c r="G181" s="311"/>
      <c r="H181" s="311"/>
      <c r="I181" s="311"/>
      <c r="J181" s="311"/>
      <c r="K181" s="311"/>
      <c r="L181" s="311"/>
      <c r="M181" s="311"/>
      <c r="N181" s="311"/>
      <c r="O181" s="311"/>
      <c r="P181" s="311"/>
      <c r="Q181" s="311"/>
      <c r="R181" s="115"/>
      <c r="S181" s="63"/>
    </row>
    <row r="182" spans="2:19" x14ac:dyDescent="0.25">
      <c r="B182" s="310"/>
      <c r="C182" s="311"/>
      <c r="D182" s="311"/>
      <c r="E182" s="311"/>
      <c r="F182" s="311"/>
      <c r="G182" s="311"/>
      <c r="H182" s="311"/>
      <c r="I182" s="311"/>
      <c r="J182" s="311"/>
      <c r="K182" s="311"/>
      <c r="L182" s="311"/>
      <c r="M182" s="311"/>
      <c r="N182" s="311"/>
      <c r="O182" s="311"/>
      <c r="P182" s="311"/>
      <c r="Q182" s="311"/>
      <c r="R182" s="115"/>
      <c r="S182" s="63"/>
    </row>
    <row r="183" spans="2:19" ht="15.75" thickBot="1" x14ac:dyDescent="0.3">
      <c r="B183" s="62"/>
      <c r="C183" s="115"/>
      <c r="D183" s="115"/>
      <c r="E183" s="115"/>
      <c r="F183" s="115"/>
      <c r="G183" s="115"/>
      <c r="H183" s="115"/>
      <c r="I183" s="115"/>
      <c r="J183" s="115"/>
      <c r="K183" s="115"/>
      <c r="L183" s="115"/>
      <c r="M183" s="115"/>
      <c r="N183" s="115"/>
      <c r="O183" s="115"/>
      <c r="P183" s="115"/>
      <c r="Q183" s="115"/>
      <c r="R183" s="115"/>
      <c r="S183" s="63"/>
    </row>
    <row r="184" spans="2:19" ht="15" customHeight="1" thickBot="1" x14ac:dyDescent="0.3">
      <c r="B184" s="48" t="s">
        <v>179</v>
      </c>
      <c r="C184" s="8" t="str">
        <f>Tables!C7</f>
        <v>Incomplete</v>
      </c>
      <c r="D184" s="115"/>
      <c r="E184" s="115"/>
      <c r="F184" s="115"/>
      <c r="G184" s="126">
        <v>0.06</v>
      </c>
      <c r="H184" s="301" t="s">
        <v>391</v>
      </c>
      <c r="I184" s="302"/>
      <c r="J184" s="302"/>
      <c r="K184" s="302"/>
      <c r="L184" s="302"/>
      <c r="M184" s="302"/>
      <c r="N184" s="303"/>
      <c r="O184" s="16"/>
      <c r="P184" s="16"/>
      <c r="Q184" s="16"/>
      <c r="R184" s="115"/>
      <c r="S184" s="63"/>
    </row>
    <row r="185" spans="2:19" x14ac:dyDescent="0.25">
      <c r="B185" s="48" t="s">
        <v>180</v>
      </c>
      <c r="C185" s="8" t="str">
        <f>Tables!C8</f>
        <v>Incomplete</v>
      </c>
      <c r="D185" s="115"/>
      <c r="E185" s="115"/>
      <c r="F185" s="115"/>
      <c r="G185" s="115"/>
      <c r="H185" s="304"/>
      <c r="I185" s="305"/>
      <c r="J185" s="305"/>
      <c r="K185" s="305"/>
      <c r="L185" s="305"/>
      <c r="M185" s="305"/>
      <c r="N185" s="306"/>
      <c r="O185" s="16"/>
      <c r="P185" s="16"/>
      <c r="Q185" s="16"/>
      <c r="R185" s="115"/>
      <c r="S185" s="63"/>
    </row>
    <row r="186" spans="2:19" ht="15.75" thickBot="1" x14ac:dyDescent="0.3">
      <c r="B186" s="48" t="s">
        <v>387</v>
      </c>
      <c r="C186" s="8" t="e">
        <f>C185+C184</f>
        <v>#VALUE!</v>
      </c>
      <c r="D186" s="115"/>
      <c r="E186" s="115"/>
      <c r="F186" s="115"/>
      <c r="G186" s="115"/>
      <c r="H186" s="307"/>
      <c r="I186" s="308"/>
      <c r="J186" s="308"/>
      <c r="K186" s="308"/>
      <c r="L186" s="308"/>
      <c r="M186" s="308"/>
      <c r="N186" s="309"/>
      <c r="O186" s="16"/>
      <c r="P186" s="16"/>
      <c r="Q186" s="16"/>
      <c r="R186" s="115"/>
      <c r="S186" s="63"/>
    </row>
    <row r="187" spans="2:19" x14ac:dyDescent="0.25">
      <c r="B187" s="48" t="s">
        <v>392</v>
      </c>
      <c r="C187" s="131">
        <f>G184</f>
        <v>0.06</v>
      </c>
      <c r="D187" s="115"/>
      <c r="E187" s="115"/>
      <c r="F187" s="115"/>
      <c r="G187" s="115"/>
      <c r="H187" s="16"/>
      <c r="I187" s="16"/>
      <c r="J187" s="16"/>
      <c r="K187" s="16"/>
      <c r="L187" s="16"/>
      <c r="M187" s="16"/>
      <c r="N187" s="16"/>
      <c r="O187" s="16"/>
      <c r="P187" s="16"/>
      <c r="Q187" s="16"/>
      <c r="R187" s="115"/>
      <c r="S187" s="63"/>
    </row>
    <row r="188" spans="2:19" x14ac:dyDescent="0.25">
      <c r="B188" s="48" t="s">
        <v>393</v>
      </c>
      <c r="C188" s="132" t="e">
        <f>VLOOKUP(C186,G189:H190,2,TRUE)</f>
        <v>#VALUE!</v>
      </c>
      <c r="D188" s="115"/>
      <c r="E188" s="115"/>
      <c r="F188" s="115"/>
      <c r="G188" s="8" t="s">
        <v>394</v>
      </c>
      <c r="H188" s="8" t="s">
        <v>393</v>
      </c>
      <c r="I188" s="16"/>
      <c r="J188" s="16"/>
      <c r="K188" s="16"/>
      <c r="L188" s="16"/>
      <c r="M188" s="16"/>
      <c r="N188" s="16"/>
      <c r="O188" s="16"/>
      <c r="P188" s="16"/>
      <c r="Q188" s="16"/>
      <c r="R188" s="115"/>
      <c r="S188" s="63"/>
    </row>
    <row r="189" spans="2:19" x14ac:dyDescent="0.25">
      <c r="B189" s="48" t="s">
        <v>375</v>
      </c>
      <c r="C189" s="132" t="e">
        <f>C188*(1+C187)</f>
        <v>#VALUE!</v>
      </c>
      <c r="D189" s="115"/>
      <c r="E189" s="115"/>
      <c r="F189" s="115"/>
      <c r="G189" s="8">
        <v>0</v>
      </c>
      <c r="H189" s="128">
        <v>9968</v>
      </c>
      <c r="I189" s="16"/>
      <c r="J189" s="16"/>
      <c r="K189" s="16"/>
      <c r="L189" s="16"/>
      <c r="M189" s="16"/>
      <c r="N189" s="16"/>
      <c r="O189" s="16"/>
      <c r="P189" s="16"/>
      <c r="Q189" s="16"/>
      <c r="R189" s="115"/>
      <c r="S189" s="63"/>
    </row>
    <row r="190" spans="2:19" x14ac:dyDescent="0.25">
      <c r="B190" s="62"/>
      <c r="C190" s="148"/>
      <c r="D190" s="115"/>
      <c r="E190" s="115"/>
      <c r="F190" s="115"/>
      <c r="G190" s="8">
        <v>6500</v>
      </c>
      <c r="H190" s="128">
        <v>9996</v>
      </c>
      <c r="I190" s="16"/>
      <c r="J190" s="16"/>
      <c r="K190" s="16"/>
      <c r="L190" s="16"/>
      <c r="M190" s="16"/>
      <c r="N190" s="16"/>
      <c r="O190" s="16"/>
      <c r="P190" s="16"/>
      <c r="Q190" s="16"/>
      <c r="R190" s="115"/>
      <c r="S190" s="63"/>
    </row>
    <row r="191" spans="2:19" x14ac:dyDescent="0.25">
      <c r="B191" s="62"/>
      <c r="C191" s="115"/>
      <c r="D191" s="115"/>
      <c r="E191" s="115"/>
      <c r="F191" s="115"/>
      <c r="G191" s="115"/>
      <c r="H191" s="115"/>
      <c r="I191" s="115"/>
      <c r="J191" s="115"/>
      <c r="K191" s="115"/>
      <c r="L191" s="115"/>
      <c r="M191" s="115"/>
      <c r="N191" s="115"/>
      <c r="O191" s="115"/>
      <c r="P191" s="115"/>
      <c r="Q191" s="115"/>
      <c r="R191" s="115"/>
      <c r="S191" s="63"/>
    </row>
    <row r="192" spans="2:19" x14ac:dyDescent="0.25">
      <c r="B192" s="62" t="s">
        <v>382</v>
      </c>
      <c r="C192" s="115"/>
      <c r="D192" s="115"/>
      <c r="E192" s="115"/>
      <c r="F192" s="115"/>
      <c r="G192" s="115"/>
      <c r="H192" s="115"/>
      <c r="I192" s="115"/>
      <c r="J192" s="115"/>
      <c r="K192" s="115"/>
      <c r="L192" s="115"/>
      <c r="M192" s="115"/>
      <c r="N192" s="115"/>
      <c r="O192" s="115"/>
      <c r="P192" s="115"/>
      <c r="Q192" s="115"/>
      <c r="R192" s="115"/>
      <c r="S192" s="63"/>
    </row>
    <row r="193" spans="2:19" x14ac:dyDescent="0.25">
      <c r="B193" s="62" t="s">
        <v>383</v>
      </c>
      <c r="C193" s="115"/>
      <c r="D193" s="115"/>
      <c r="E193" s="115"/>
      <c r="F193" s="115"/>
      <c r="G193" s="115"/>
      <c r="H193" s="115"/>
      <c r="I193" s="115"/>
      <c r="J193" s="115"/>
      <c r="K193" s="115"/>
      <c r="L193" s="115"/>
      <c r="M193" s="115"/>
      <c r="N193" s="115"/>
      <c r="O193" s="115"/>
      <c r="P193" s="115"/>
      <c r="Q193" s="115"/>
      <c r="R193" s="115"/>
      <c r="S193" s="63"/>
    </row>
    <row r="194" spans="2:19" x14ac:dyDescent="0.25">
      <c r="B194" s="62" t="s">
        <v>384</v>
      </c>
      <c r="C194" s="115"/>
      <c r="D194" s="115"/>
      <c r="E194" s="115"/>
      <c r="F194" s="115"/>
      <c r="G194" s="115"/>
      <c r="H194" s="115"/>
      <c r="I194" s="115"/>
      <c r="J194" s="115"/>
      <c r="K194" s="115"/>
      <c r="L194" s="115"/>
      <c r="M194" s="115"/>
      <c r="N194" s="115"/>
      <c r="O194" s="115"/>
      <c r="P194" s="115"/>
      <c r="Q194" s="115"/>
      <c r="R194" s="115"/>
      <c r="S194" s="63"/>
    </row>
    <row r="195" spans="2:19" x14ac:dyDescent="0.25">
      <c r="B195" s="62" t="s">
        <v>385</v>
      </c>
      <c r="C195" s="115"/>
      <c r="D195" s="115"/>
      <c r="E195" s="115"/>
      <c r="F195" s="115"/>
      <c r="G195" s="115"/>
      <c r="H195" s="115"/>
      <c r="I195" s="115"/>
      <c r="J195" s="115"/>
      <c r="K195" s="115"/>
      <c r="L195" s="115"/>
      <c r="M195" s="115"/>
      <c r="N195" s="115"/>
      <c r="O195" s="115"/>
      <c r="P195" s="115"/>
      <c r="Q195" s="115"/>
      <c r="R195" s="115"/>
      <c r="S195" s="63"/>
    </row>
    <row r="196" spans="2:19" x14ac:dyDescent="0.25">
      <c r="B196" s="62" t="s">
        <v>386</v>
      </c>
      <c r="C196" s="115"/>
      <c r="D196" s="115"/>
      <c r="E196" s="115"/>
      <c r="F196" s="115"/>
      <c r="G196" s="115"/>
      <c r="H196" s="115"/>
      <c r="I196" s="115"/>
      <c r="J196" s="115"/>
      <c r="K196" s="115"/>
      <c r="L196" s="115"/>
      <c r="M196" s="115"/>
      <c r="N196" s="115"/>
      <c r="O196" s="115"/>
      <c r="P196" s="115"/>
      <c r="Q196" s="115"/>
      <c r="R196" s="115"/>
      <c r="S196" s="63"/>
    </row>
    <row r="197" spans="2:19" x14ac:dyDescent="0.25">
      <c r="B197" s="62"/>
      <c r="C197" s="115"/>
      <c r="D197" s="115"/>
      <c r="E197" s="115"/>
      <c r="F197" s="115"/>
      <c r="G197" s="115"/>
      <c r="H197" s="115"/>
      <c r="I197" s="115"/>
      <c r="J197" s="115"/>
      <c r="K197" s="115"/>
      <c r="L197" s="115"/>
      <c r="M197" s="115"/>
      <c r="N197" s="115"/>
      <c r="O197" s="115"/>
      <c r="P197" s="115"/>
      <c r="Q197" s="115"/>
      <c r="R197" s="115"/>
      <c r="S197" s="63"/>
    </row>
    <row r="198" spans="2:19" x14ac:dyDescent="0.25">
      <c r="B198" s="62" t="s">
        <v>381</v>
      </c>
      <c r="C198" s="115"/>
      <c r="D198" s="115"/>
      <c r="E198" s="115"/>
      <c r="F198" s="115" t="s">
        <v>377</v>
      </c>
      <c r="G198" s="115"/>
      <c r="H198" s="115"/>
      <c r="I198" s="115"/>
      <c r="J198" s="115"/>
      <c r="K198" s="115"/>
      <c r="L198" s="115"/>
      <c r="M198" s="115"/>
      <c r="N198" s="115"/>
      <c r="O198" s="115"/>
      <c r="P198" s="115"/>
      <c r="Q198" s="115"/>
      <c r="R198" s="115"/>
      <c r="S198" s="63"/>
    </row>
    <row r="199" spans="2:19" x14ac:dyDescent="0.25">
      <c r="B199" s="62"/>
      <c r="C199" s="115"/>
      <c r="D199" s="115"/>
      <c r="E199" s="149" t="s">
        <v>389</v>
      </c>
      <c r="F199" s="115" t="s">
        <v>378</v>
      </c>
      <c r="G199" s="115"/>
      <c r="H199" s="115"/>
      <c r="I199" s="115"/>
      <c r="J199" s="115"/>
      <c r="K199" s="115"/>
      <c r="L199" s="115"/>
      <c r="M199" s="115"/>
      <c r="N199" s="115"/>
      <c r="O199" s="115"/>
      <c r="P199" s="115"/>
      <c r="Q199" s="115"/>
      <c r="R199" s="115"/>
      <c r="S199" s="63"/>
    </row>
    <row r="200" spans="2:19" x14ac:dyDescent="0.25">
      <c r="B200" s="62"/>
      <c r="C200" s="115"/>
      <c r="D200" s="115"/>
      <c r="E200" s="115"/>
      <c r="F200" s="115" t="s">
        <v>379</v>
      </c>
      <c r="G200" s="115"/>
      <c r="H200" s="115"/>
      <c r="I200" s="115"/>
      <c r="J200" s="115"/>
      <c r="K200" s="115"/>
      <c r="L200" s="115"/>
      <c r="M200" s="115"/>
      <c r="N200" s="115"/>
      <c r="O200" s="115"/>
      <c r="P200" s="115"/>
      <c r="Q200" s="115"/>
      <c r="R200" s="115"/>
      <c r="S200" s="63"/>
    </row>
    <row r="201" spans="2:19" x14ac:dyDescent="0.25">
      <c r="B201" s="62"/>
      <c r="C201" s="115"/>
      <c r="D201" s="115"/>
      <c r="E201" s="149" t="s">
        <v>390</v>
      </c>
      <c r="F201" s="115" t="s">
        <v>380</v>
      </c>
      <c r="G201" s="115"/>
      <c r="H201" s="115"/>
      <c r="I201" s="115"/>
      <c r="J201" s="115"/>
      <c r="K201" s="115"/>
      <c r="L201" s="115"/>
      <c r="M201" s="115"/>
      <c r="N201" s="115"/>
      <c r="O201" s="115"/>
      <c r="P201" s="115"/>
      <c r="Q201" s="115"/>
      <c r="R201" s="115"/>
      <c r="S201" s="63"/>
    </row>
    <row r="202" spans="2:19" x14ac:dyDescent="0.25">
      <c r="B202" s="62"/>
      <c r="C202" s="115"/>
      <c r="D202" s="115"/>
      <c r="E202" s="115"/>
      <c r="F202" s="115"/>
      <c r="G202" s="115"/>
      <c r="H202" s="115"/>
      <c r="I202" s="115"/>
      <c r="J202" s="115"/>
      <c r="K202" s="115"/>
      <c r="L202" s="115"/>
      <c r="M202" s="115"/>
      <c r="N202" s="115"/>
      <c r="O202" s="115"/>
      <c r="P202" s="115"/>
      <c r="Q202" s="115"/>
      <c r="R202" s="115"/>
      <c r="S202" s="63"/>
    </row>
    <row r="203" spans="2:19" ht="15.75" thickBot="1" x14ac:dyDescent="0.3">
      <c r="B203" s="71"/>
      <c r="C203" s="72"/>
      <c r="D203" s="72"/>
      <c r="E203" s="72"/>
      <c r="F203" s="72"/>
      <c r="G203" s="72"/>
      <c r="H203" s="72"/>
      <c r="I203" s="72"/>
      <c r="J203" s="72"/>
      <c r="K203" s="72"/>
      <c r="L203" s="72"/>
      <c r="M203" s="72"/>
      <c r="N203" s="72"/>
      <c r="O203" s="72"/>
      <c r="P203" s="72"/>
      <c r="Q203" s="72"/>
      <c r="R203" s="72"/>
      <c r="S203" s="73"/>
    </row>
    <row r="205" spans="2:19" x14ac:dyDescent="0.25">
      <c r="B205" s="84" t="s">
        <v>451</v>
      </c>
    </row>
    <row r="206" spans="2:19" x14ac:dyDescent="0.25">
      <c r="B206" t="s">
        <v>452</v>
      </c>
    </row>
    <row r="207" spans="2:19" x14ac:dyDescent="0.25">
      <c r="B207" t="s">
        <v>453</v>
      </c>
    </row>
    <row r="208" spans="2:19" x14ac:dyDescent="0.25">
      <c r="B208" t="s">
        <v>454</v>
      </c>
    </row>
    <row r="210" spans="2:2" x14ac:dyDescent="0.25">
      <c r="B210" s="84" t="s">
        <v>450</v>
      </c>
    </row>
  </sheetData>
  <sheetProtection algorithmName="SHA-512" hashValue="4Ga3ZhAAgtuXS6KUq05b/uK1+FeiabC/qwU3KdQSMwKFvGqaTuPphGbIIp9CpKyOl623L4FEey5nrHJJ6zaDhQ==" saltValue="yD2H8lEMhouiPnSIhfFHew==" spinCount="100000" sheet="1" objects="1" scenarios="1" selectLockedCells="1" selectUnlockedCells="1"/>
  <mergeCells count="10">
    <mergeCell ref="D5:H5"/>
    <mergeCell ref="C54:D54"/>
    <mergeCell ref="E54:F54"/>
    <mergeCell ref="G54:H54"/>
    <mergeCell ref="H98:M102"/>
    <mergeCell ref="H184:N186"/>
    <mergeCell ref="B181:Q182"/>
    <mergeCell ref="L134:R135"/>
    <mergeCell ref="L126:R132"/>
    <mergeCell ref="J126:K127"/>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30D2E265-76E1-4349-9D62-0DEAEEA9F1C3}">
          <x14:formula1>
            <xm:f>Tables!$J$262:$M$262</xm:f>
          </x14:formula1>
          <xm:sqref>G98</xm:sqref>
        </x14:dataValidation>
        <x14:dataValidation type="list" allowBlank="1" showInputMessage="1" showErrorMessage="1" xr:uid="{0E033A70-3E5D-4388-815F-1BFD97A19CA1}">
          <x14:formula1>
            <xm:f>Tables!$N$238:$N$240</xm:f>
          </x14:formula1>
          <xm:sqref>J126:K127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47D41-5972-443B-A604-7D599D8B13BB}">
  <dimension ref="B2:N124"/>
  <sheetViews>
    <sheetView topLeftCell="A22" workbookViewId="0">
      <selection activeCell="G42" sqref="G42"/>
    </sheetView>
  </sheetViews>
  <sheetFormatPr defaultRowHeight="15" x14ac:dyDescent="0.25"/>
  <cols>
    <col min="2" max="2" width="13.140625" customWidth="1"/>
    <col min="3" max="3" width="15" customWidth="1"/>
    <col min="4" max="4" width="12.85546875" customWidth="1"/>
    <col min="6" max="6" width="10.42578125" customWidth="1"/>
    <col min="7" max="7" width="81" customWidth="1"/>
  </cols>
  <sheetData>
    <row r="2" spans="2:14" x14ac:dyDescent="0.25">
      <c r="H2" s="323" t="s">
        <v>154</v>
      </c>
      <c r="I2" s="323"/>
      <c r="J2" s="323"/>
      <c r="K2" s="323"/>
      <c r="L2" s="323"/>
      <c r="M2" s="323"/>
    </row>
    <row r="3" spans="2:14" x14ac:dyDescent="0.25">
      <c r="B3" t="s">
        <v>167</v>
      </c>
      <c r="C3" t="s">
        <v>64</v>
      </c>
      <c r="D3" t="s">
        <v>69</v>
      </c>
      <c r="E3" t="s">
        <v>65</v>
      </c>
      <c r="F3" t="s">
        <v>70</v>
      </c>
      <c r="G3" t="s">
        <v>66</v>
      </c>
      <c r="H3" s="8" t="s">
        <v>52</v>
      </c>
      <c r="I3" s="8" t="s">
        <v>53</v>
      </c>
      <c r="J3" s="8" t="s">
        <v>54</v>
      </c>
      <c r="K3" s="8" t="s">
        <v>55</v>
      </c>
      <c r="L3" s="24" t="s">
        <v>56</v>
      </c>
      <c r="M3" s="24" t="s">
        <v>57</v>
      </c>
      <c r="N3" s="7"/>
    </row>
    <row r="4" spans="2:14" ht="18" x14ac:dyDescent="0.35">
      <c r="B4" t="str">
        <f>IF(lookups!$B$29='electric calculations'!$H$3,'electric calculations'!H4,IF(lookups!$B$29='electric calculations'!$I$3,I4,IF(lookups!$B$29='electric calculations'!$J$3,J4,IF(lookups!$B$29='electric calculations'!$K$3,K4,IF(lookups!$B$29='electric calculations'!$L$3,L4,IF(lookups!$B$29='electric calculations'!$M$3,M4,"No"))))))</f>
        <v>No</v>
      </c>
      <c r="C4" t="s">
        <v>156</v>
      </c>
      <c r="D4">
        <f>Inputs!C45</f>
        <v>0</v>
      </c>
      <c r="E4" t="s">
        <v>314</v>
      </c>
      <c r="F4" t="s">
        <v>72</v>
      </c>
      <c r="G4" t="s">
        <v>71</v>
      </c>
      <c r="H4" t="s">
        <v>153</v>
      </c>
      <c r="I4" t="s">
        <v>153</v>
      </c>
      <c r="J4" t="s">
        <v>153</v>
      </c>
      <c r="K4" t="s">
        <v>153</v>
      </c>
      <c r="L4" t="s">
        <v>153</v>
      </c>
      <c r="M4" t="s">
        <v>153</v>
      </c>
    </row>
    <row r="5" spans="2:14" x14ac:dyDescent="0.25">
      <c r="B5" t="str">
        <f>IF(lookups!$B$29='electric calculations'!$H$3,'electric calculations'!H5,IF(lookups!$B$29='electric calculations'!$I$3,I5,IF(lookups!$B$29='electric calculations'!$J$3,J5,IF(lookups!$B$29='electric calculations'!$K$3,K5,IF(lookups!$B$29='electric calculations'!$L$3,L5,IF(lookups!$B$29='electric calculations'!$M$3,M5,"No"))))))</f>
        <v>No</v>
      </c>
      <c r="C5" t="s">
        <v>12</v>
      </c>
      <c r="D5" t="str">
        <f>Inputs!C61</f>
        <v>Incomplete</v>
      </c>
      <c r="E5" t="str">
        <f>Tables!C8</f>
        <v>Incomplete</v>
      </c>
      <c r="F5" t="s">
        <v>74</v>
      </c>
      <c r="G5" t="s">
        <v>73</v>
      </c>
      <c r="H5" t="s">
        <v>153</v>
      </c>
      <c r="I5" t="s">
        <v>153</v>
      </c>
      <c r="J5" t="s">
        <v>153</v>
      </c>
      <c r="K5" t="s">
        <v>153</v>
      </c>
      <c r="L5" t="s">
        <v>153</v>
      </c>
      <c r="M5" t="s">
        <v>153</v>
      </c>
    </row>
    <row r="6" spans="2:14" ht="60" x14ac:dyDescent="0.25">
      <c r="B6" t="str">
        <f>IF(lookups!$B$29='electric calculations'!$H$3,'electric calculations'!H6,IF(lookups!$B$29='electric calculations'!$I$3,I6,IF(lookups!$B$29='electric calculations'!$J$3,J6,IF(lookups!$B$29='electric calculations'!$K$3,K6,IF(lookups!$B$29='electric calculations'!$L$3,L6,IF(lookups!$B$29='electric calculations'!$M$3,M6,"No"))))))</f>
        <v>No</v>
      </c>
      <c r="C6" t="s">
        <v>160</v>
      </c>
      <c r="D6">
        <f>Inputs!D28</f>
        <v>0</v>
      </c>
      <c r="E6" t="s">
        <v>314</v>
      </c>
      <c r="F6" t="s">
        <v>75</v>
      </c>
      <c r="G6" s="94" t="s">
        <v>351</v>
      </c>
      <c r="H6" t="s">
        <v>161</v>
      </c>
      <c r="I6" t="s">
        <v>161</v>
      </c>
      <c r="J6" t="s">
        <v>153</v>
      </c>
      <c r="K6" t="s">
        <v>153</v>
      </c>
      <c r="L6" t="s">
        <v>161</v>
      </c>
      <c r="M6" t="s">
        <v>161</v>
      </c>
    </row>
    <row r="7" spans="2:14" x14ac:dyDescent="0.25">
      <c r="B7" t="str">
        <f>IF(lookups!$B$29='electric calculations'!$H$3,'electric calculations'!H7,IF(lookups!$B$29='electric calculations'!$I$3,I7,IF(lookups!$B$29='electric calculations'!$J$3,J7,IF(lookups!$B$29='electric calculations'!$K$3,K7,IF(lookups!$B$29='electric calculations'!$L$3,L7,IF(lookups!$B$29='electric calculations'!$M$3,M7,"No"))))))</f>
        <v>No</v>
      </c>
      <c r="C7" t="s">
        <v>3</v>
      </c>
      <c r="D7" t="str">
        <f>Inputs!C62</f>
        <v>Incomplete</v>
      </c>
      <c r="E7" t="str">
        <f>lookups!C67</f>
        <v>Incomplete</v>
      </c>
      <c r="F7" t="s">
        <v>75</v>
      </c>
      <c r="G7" s="2" t="s">
        <v>174</v>
      </c>
      <c r="H7" t="s">
        <v>153</v>
      </c>
      <c r="I7" t="s">
        <v>153</v>
      </c>
      <c r="J7" t="s">
        <v>153</v>
      </c>
      <c r="K7" t="s">
        <v>153</v>
      </c>
      <c r="L7" t="s">
        <v>153</v>
      </c>
      <c r="M7" t="s">
        <v>153</v>
      </c>
    </row>
    <row r="8" spans="2:14" x14ac:dyDescent="0.25">
      <c r="B8" t="str">
        <f>IF(lookups!$B$29='electric calculations'!$H$3,'electric calculations'!H8,IF(lookups!$B$29='electric calculations'!$I$3,I8,IF(lookups!$B$29='electric calculations'!$J$3,J8,IF(lookups!$B$29='electric calculations'!$K$3,K8,IF(lookups!$B$29='electric calculations'!$L$3,L8,IF(lookups!$B$29='electric calculations'!$M$3,M8,"No"))))))</f>
        <v>No</v>
      </c>
      <c r="C8" t="s">
        <v>13</v>
      </c>
      <c r="D8">
        <f>Inputs!C46</f>
        <v>0</v>
      </c>
      <c r="E8" t="s">
        <v>314</v>
      </c>
      <c r="F8" t="s">
        <v>75</v>
      </c>
      <c r="G8" s="2" t="s">
        <v>175</v>
      </c>
      <c r="H8" t="s">
        <v>153</v>
      </c>
      <c r="I8" t="s">
        <v>153</v>
      </c>
      <c r="J8" t="s">
        <v>153</v>
      </c>
      <c r="K8" t="s">
        <v>153</v>
      </c>
      <c r="L8" t="s">
        <v>153</v>
      </c>
      <c r="M8" t="s">
        <v>153</v>
      </c>
    </row>
    <row r="9" spans="2:14" x14ac:dyDescent="0.25">
      <c r="B9" t="str">
        <f>IF(lookups!$B$29='electric calculations'!$H$3,'electric calculations'!H9,IF(lookups!$B$29='electric calculations'!$I$3,I9,IF(lookups!$B$29='electric calculations'!$J$3,J9,IF(lookups!$B$29='electric calculations'!$K$3,K9,IF(lookups!$B$29='electric calculations'!$L$3,L9,IF(lookups!$B$29='electric calculations'!$M$3,M9,"No"))))))</f>
        <v>No</v>
      </c>
      <c r="C9" t="s">
        <v>14</v>
      </c>
      <c r="D9" t="str">
        <f>Inputs!C63</f>
        <v>Incomplete</v>
      </c>
      <c r="E9" t="str">
        <f>IF(Inputs!C18=lookups!B17,1,IF(Inputs!C18=lookups!B16,0,"Incomplete"))</f>
        <v>Incomplete</v>
      </c>
      <c r="F9" t="s">
        <v>77</v>
      </c>
      <c r="G9" t="s">
        <v>430</v>
      </c>
      <c r="H9" t="s">
        <v>153</v>
      </c>
      <c r="I9" t="s">
        <v>153</v>
      </c>
      <c r="J9" t="s">
        <v>153</v>
      </c>
      <c r="K9" t="s">
        <v>153</v>
      </c>
      <c r="L9" t="s">
        <v>153</v>
      </c>
      <c r="M9" t="s">
        <v>153</v>
      </c>
    </row>
    <row r="10" spans="2:14" x14ac:dyDescent="0.25">
      <c r="B10" t="str">
        <f>IF(lookups!$B$29='electric calculations'!$H$3,'electric calculations'!H10,IF(lookups!$B$29='electric calculations'!$I$3,I10,IF(lookups!$B$29='electric calculations'!$J$3,J10,IF(lookups!$B$29='electric calculations'!$K$3,K10,IF(lookups!$B$29='electric calculations'!$L$3,L10,IF(lookups!$B$29='electric calculations'!$M$3,M10,"No"))))))</f>
        <v>No</v>
      </c>
      <c r="C10" t="s">
        <v>15</v>
      </c>
      <c r="D10">
        <f>Inputs!C47</f>
        <v>0</v>
      </c>
      <c r="E10" t="s">
        <v>314</v>
      </c>
      <c r="F10" t="s">
        <v>72</v>
      </c>
      <c r="G10" t="s">
        <v>78</v>
      </c>
      <c r="H10" t="s">
        <v>153</v>
      </c>
      <c r="I10" t="s">
        <v>153</v>
      </c>
      <c r="J10" t="s">
        <v>153</v>
      </c>
      <c r="K10" t="s">
        <v>153</v>
      </c>
      <c r="L10" t="s">
        <v>153</v>
      </c>
      <c r="M10" t="s">
        <v>153</v>
      </c>
    </row>
    <row r="11" spans="2:14" x14ac:dyDescent="0.25">
      <c r="B11" t="str">
        <f>IF(lookups!$B$29='electric calculations'!$H$3,'electric calculations'!H11,IF(lookups!$B$29='electric calculations'!$I$3,I11,IF(lookups!$B$29='electric calculations'!$J$3,J11,IF(lookups!$B$29='electric calculations'!$K$3,K11,IF(lookups!$B$29='electric calculations'!$L$3,L11,IF(lookups!$B$29='electric calculations'!$M$3,M11,"No"))))))</f>
        <v>No</v>
      </c>
      <c r="C11" t="s">
        <v>16</v>
      </c>
      <c r="D11" t="str">
        <f>Inputs!C64</f>
        <v>Incomplete</v>
      </c>
      <c r="E11" t="str">
        <f>Tables!C7</f>
        <v>Incomplete</v>
      </c>
      <c r="F11" t="s">
        <v>74</v>
      </c>
      <c r="G11" t="s">
        <v>79</v>
      </c>
      <c r="H11" t="s">
        <v>153</v>
      </c>
      <c r="I11" t="s">
        <v>153</v>
      </c>
      <c r="J11" t="s">
        <v>153</v>
      </c>
      <c r="K11" t="s">
        <v>153</v>
      </c>
      <c r="L11" t="s">
        <v>153</v>
      </c>
      <c r="M11" t="s">
        <v>153</v>
      </c>
    </row>
    <row r="12" spans="2:14" x14ac:dyDescent="0.25">
      <c r="B12" t="str">
        <f>IF(lookups!$B$29='electric calculations'!$H$3,'electric calculations'!H12,IF(lookups!$B$29='electric calculations'!$I$3,I12,IF(lookups!$B$29='electric calculations'!$J$3,J12,IF(lookups!$B$29='electric calculations'!$K$3,K12,IF(lookups!$B$29='electric calculations'!$L$3,L12,IF(lookups!$B$29='electric calculations'!$M$3,M12,"No"))))))</f>
        <v>No</v>
      </c>
      <c r="C12" t="s">
        <v>162</v>
      </c>
      <c r="D12">
        <f>Inputs!E37</f>
        <v>0</v>
      </c>
      <c r="E12" t="str">
        <f>IF(B12="N","Not Needed","Required Input")</f>
        <v>Required Input</v>
      </c>
      <c r="F12" t="s">
        <v>80</v>
      </c>
      <c r="G12" t="s">
        <v>415</v>
      </c>
      <c r="H12" t="s">
        <v>161</v>
      </c>
      <c r="I12" t="s">
        <v>161</v>
      </c>
      <c r="J12" t="s">
        <v>153</v>
      </c>
      <c r="K12" t="s">
        <v>161</v>
      </c>
      <c r="L12" t="s">
        <v>161</v>
      </c>
      <c r="M12" t="s">
        <v>161</v>
      </c>
    </row>
    <row r="13" spans="2:14" x14ac:dyDescent="0.25">
      <c r="B13" t="str">
        <f>IF(lookups!$B$29='electric calculations'!$H$3,'electric calculations'!H13,IF(lookups!$B$29='electric calculations'!$I$3,I13,IF(lookups!$B$29='electric calculations'!$J$3,J13,IF(lookups!$B$29='electric calculations'!$K$3,K13,IF(lookups!$B$29='electric calculations'!$L$3,L13,IF(lookups!$B$29='electric calculations'!$M$3,M13,"No"))))))</f>
        <v>No</v>
      </c>
      <c r="C13" t="s">
        <v>17</v>
      </c>
      <c r="D13" s="104" t="str">
        <f>Inputs!C65</f>
        <v>Incomplete Inputs</v>
      </c>
      <c r="E13" s="105" t="str">
        <f>lookups!C118</f>
        <v>Incomplete Inputs</v>
      </c>
      <c r="F13" t="s">
        <v>80</v>
      </c>
      <c r="G13" t="s">
        <v>251</v>
      </c>
      <c r="H13" t="s">
        <v>153</v>
      </c>
      <c r="I13" t="s">
        <v>153</v>
      </c>
      <c r="J13" t="s">
        <v>153</v>
      </c>
      <c r="K13" t="s">
        <v>161</v>
      </c>
      <c r="L13" t="s">
        <v>161</v>
      </c>
      <c r="M13" t="s">
        <v>161</v>
      </c>
    </row>
    <row r="14" spans="2:14" x14ac:dyDescent="0.25">
      <c r="B14" t="str">
        <f>IF(lookups!$B$29='electric calculations'!$H$3,'electric calculations'!H14,IF(lookups!$B$29='electric calculations'!$I$3,I14,IF(lookups!$B$29='electric calculations'!$J$3,J14,IF(lookups!$B$29='electric calculations'!$K$3,K14,IF(lookups!$B$29='electric calculations'!$L$3,L14,IF(lookups!$B$29='electric calculations'!$M$3,M14,"No"))))))</f>
        <v>No</v>
      </c>
      <c r="C14" t="s">
        <v>163</v>
      </c>
      <c r="D14" t="str">
        <f>Inputs!C66</f>
        <v>Input CapacityHeat</v>
      </c>
      <c r="E14" s="103" t="str">
        <f>IF(B14="N","Not Needed",lookups!C119)</f>
        <v>Input CapacityHeat</v>
      </c>
      <c r="F14" t="s">
        <v>80</v>
      </c>
      <c r="G14" t="s">
        <v>164</v>
      </c>
      <c r="H14" t="s">
        <v>161</v>
      </c>
      <c r="I14" t="s">
        <v>161</v>
      </c>
      <c r="J14" t="s">
        <v>161</v>
      </c>
      <c r="K14" t="s">
        <v>153</v>
      </c>
      <c r="L14" t="s">
        <v>153</v>
      </c>
      <c r="M14" t="s">
        <v>153</v>
      </c>
    </row>
    <row r="15" spans="2:14" x14ac:dyDescent="0.25">
      <c r="B15" t="str">
        <f>IF(lookups!$B$29='electric calculations'!$H$3,'electric calculations'!H15,IF(lookups!$B$29='electric calculations'!$I$3,I15,IF(lookups!$B$29='electric calculations'!$J$3,J15,IF(lookups!$B$29='electric calculations'!$K$3,K15,IF(lookups!$B$29='electric calculations'!$L$3,L15,IF(lookups!$B$29='electric calculations'!$M$3,M15,"No"))))))</f>
        <v>No</v>
      </c>
      <c r="C15" t="s">
        <v>18</v>
      </c>
      <c r="D15">
        <f>Inputs!C48</f>
        <v>0</v>
      </c>
      <c r="E15" t="s">
        <v>314</v>
      </c>
      <c r="F15" t="s">
        <v>84</v>
      </c>
      <c r="G15" t="s">
        <v>81</v>
      </c>
      <c r="H15" t="s">
        <v>153</v>
      </c>
      <c r="I15" t="s">
        <v>153</v>
      </c>
      <c r="J15" t="s">
        <v>153</v>
      </c>
      <c r="K15" t="s">
        <v>153</v>
      </c>
      <c r="L15" t="s">
        <v>153</v>
      </c>
      <c r="M15" t="s">
        <v>153</v>
      </c>
    </row>
    <row r="16" spans="2:14" x14ac:dyDescent="0.25">
      <c r="B16" t="str">
        <f>IF(lookups!$B$29='electric calculations'!$H$3,'electric calculations'!H16,IF(lookups!$B$29='electric calculations'!$I$3,I16,IF(lookups!$B$29='electric calculations'!$J$3,J16,IF(lookups!$B$29='electric calculations'!$K$3,K16,IF(lookups!$B$29='electric calculations'!$L$3,L16,IF(lookups!$B$29='electric calculations'!$M$3,M16,"No"))))))</f>
        <v>No</v>
      </c>
      <c r="C16" t="s">
        <v>165</v>
      </c>
      <c r="D16" s="103">
        <f>Inputs!C74</f>
        <v>3.4119999999999999</v>
      </c>
      <c r="E16" s="103">
        <v>3.4119999999999999</v>
      </c>
      <c r="F16" t="s">
        <v>436</v>
      </c>
      <c r="G16" t="s">
        <v>166</v>
      </c>
      <c r="H16" t="s">
        <v>153</v>
      </c>
      <c r="I16" t="s">
        <v>153</v>
      </c>
      <c r="J16" t="s">
        <v>153</v>
      </c>
      <c r="K16" t="s">
        <v>153</v>
      </c>
      <c r="L16" t="s">
        <v>153</v>
      </c>
      <c r="M16" t="s">
        <v>153</v>
      </c>
    </row>
    <row r="17" spans="2:13" x14ac:dyDescent="0.25">
      <c r="B17" t="str">
        <f>IF(lookups!$B$29='electric calculations'!$H$3,'electric calculations'!H17,IF(lookups!$B$29='electric calculations'!$I$3,I17,IF(lookups!$B$29='electric calculations'!$J$3,J17,IF(lookups!$B$29='electric calculations'!$K$3,K17,IF(lookups!$B$29='electric calculations'!$L$3,L17,IF(lookups!$B$29='electric calculations'!$M$3,M17,"No"))))))</f>
        <v>No</v>
      </c>
      <c r="C17" t="s">
        <v>19</v>
      </c>
      <c r="D17">
        <f>Inputs!C49</f>
        <v>0</v>
      </c>
      <c r="E17" t="s">
        <v>316</v>
      </c>
      <c r="F17" t="s">
        <v>77</v>
      </c>
      <c r="G17" t="s">
        <v>82</v>
      </c>
      <c r="H17" t="s">
        <v>153</v>
      </c>
      <c r="I17" t="s">
        <v>153</v>
      </c>
      <c r="J17" t="s">
        <v>153</v>
      </c>
      <c r="K17" t="s">
        <v>153</v>
      </c>
      <c r="L17" t="s">
        <v>153</v>
      </c>
      <c r="M17" t="s">
        <v>153</v>
      </c>
    </row>
    <row r="18" spans="2:13" x14ac:dyDescent="0.25">
      <c r="B18" t="str">
        <f>IF(lookups!$B$29='electric calculations'!$H$3,'electric calculations'!H18,IF(lookups!$B$29='electric calculations'!$I$3,I18,IF(lookups!$B$29='electric calculations'!$J$3,J18,IF(lookups!$B$29='electric calculations'!$K$3,K18,IF(lookups!$B$29='electric calculations'!$L$3,L18,IF(lookups!$B$29='electric calculations'!$M$3,M18,"No"))))))</f>
        <v>No</v>
      </c>
      <c r="C18" t="s">
        <v>20</v>
      </c>
      <c r="D18">
        <f>Inputs!C50</f>
        <v>0</v>
      </c>
      <c r="E18" t="s">
        <v>316</v>
      </c>
      <c r="F18" t="s">
        <v>83</v>
      </c>
      <c r="G18" s="2" t="s">
        <v>159</v>
      </c>
      <c r="H18" t="s">
        <v>153</v>
      </c>
      <c r="I18" t="s">
        <v>153</v>
      </c>
      <c r="J18" t="s">
        <v>153</v>
      </c>
      <c r="K18" t="s">
        <v>153</v>
      </c>
      <c r="L18" t="s">
        <v>153</v>
      </c>
      <c r="M18" t="s">
        <v>153</v>
      </c>
    </row>
    <row r="19" spans="2:13" x14ac:dyDescent="0.25">
      <c r="B19" t="str">
        <f>IF(lookups!$B$29='electric calculations'!$H$3,'electric calculations'!H19,IF(lookups!$B$29='electric calculations'!$I$3,I19,IF(lookups!$B$29='electric calculations'!$J$3,J19,IF(lookups!$B$29='electric calculations'!$K$3,K19,IF(lookups!$B$29='electric calculations'!$L$3,L19,IF(lookups!$B$29='electric calculations'!$M$3,M19,"No"))))))</f>
        <v>No</v>
      </c>
      <c r="C19" t="s">
        <v>21</v>
      </c>
      <c r="D19">
        <f>Inputs!C69</f>
        <v>0</v>
      </c>
      <c r="E19" t="s">
        <v>316</v>
      </c>
      <c r="G19" s="2" t="s">
        <v>85</v>
      </c>
      <c r="H19" t="s">
        <v>153</v>
      </c>
      <c r="I19" t="s">
        <v>153</v>
      </c>
      <c r="J19" t="s">
        <v>153</v>
      </c>
      <c r="K19" t="s">
        <v>153</v>
      </c>
      <c r="L19" t="s">
        <v>153</v>
      </c>
      <c r="M19" t="s">
        <v>153</v>
      </c>
    </row>
    <row r="20" spans="2:13" x14ac:dyDescent="0.25">
      <c r="B20" t="str">
        <f>IF(lookups!$B$29='electric calculations'!$H$3,'electric calculations'!H20,IF(lookups!$B$29='electric calculations'!$I$3,I20,IF(lookups!$B$29='electric calculations'!$J$3,J20,IF(lookups!$B$29='electric calculations'!$K$3,K20,IF(lookups!$B$29='electric calculations'!$L$3,L20,IF(lookups!$B$29='electric calculations'!$M$3,M20,"No"))))))</f>
        <v>No</v>
      </c>
      <c r="C20" t="s">
        <v>22</v>
      </c>
      <c r="D20">
        <f>Inputs!C70</f>
        <v>0</v>
      </c>
      <c r="E20" t="s">
        <v>316</v>
      </c>
      <c r="F20" s="103" t="s">
        <v>86</v>
      </c>
      <c r="H20" t="s">
        <v>153</v>
      </c>
      <c r="I20" t="s">
        <v>153</v>
      </c>
      <c r="J20" t="s">
        <v>153</v>
      </c>
      <c r="K20" t="s">
        <v>153</v>
      </c>
      <c r="L20" t="s">
        <v>153</v>
      </c>
      <c r="M20" t="s">
        <v>153</v>
      </c>
    </row>
    <row r="21" spans="2:13" x14ac:dyDescent="0.25">
      <c r="B21" t="str">
        <f>IF(lookups!$B$29='electric calculations'!$H$3,'electric calculations'!H21,IF(lookups!$B$29='electric calculations'!$I$3,I21,IF(lookups!$B$29='electric calculations'!$J$3,J21,IF(lookups!$B$29='electric calculations'!$K$3,K21,IF(lookups!$B$29='electric calculations'!$L$3,L21,IF(lookups!$B$29='electric calculations'!$M$3,M21,"No"))))))</f>
        <v>No</v>
      </c>
      <c r="C21" t="s">
        <v>23</v>
      </c>
      <c r="D21">
        <f>Inputs!C77</f>
        <v>8.33</v>
      </c>
      <c r="E21">
        <v>8.33</v>
      </c>
      <c r="F21" t="s">
        <v>88</v>
      </c>
      <c r="G21" t="s">
        <v>87</v>
      </c>
      <c r="H21" t="s">
        <v>153</v>
      </c>
      <c r="I21" t="s">
        <v>153</v>
      </c>
      <c r="J21" t="s">
        <v>153</v>
      </c>
      <c r="K21" t="s">
        <v>153</v>
      </c>
      <c r="L21" t="s">
        <v>153</v>
      </c>
      <c r="M21" t="s">
        <v>153</v>
      </c>
    </row>
    <row r="22" spans="2:13" x14ac:dyDescent="0.25">
      <c r="B22" t="str">
        <f>IF(lookups!$B$29='electric calculations'!$H$3,'electric calculations'!H22,IF(lookups!$B$29='electric calculations'!$I$3,I22,IF(lookups!$B$29='electric calculations'!$J$3,J22,IF(lookups!$B$29='electric calculations'!$K$3,K22,IF(lookups!$B$29='electric calculations'!$L$3,L22,IF(lookups!$B$29='electric calculations'!$M$3,M22,"No"))))))</f>
        <v>No</v>
      </c>
      <c r="C22" t="s">
        <v>24</v>
      </c>
      <c r="D22">
        <f>Inputs!C78</f>
        <v>125</v>
      </c>
      <c r="E22">
        <v>125</v>
      </c>
      <c r="F22" t="s">
        <v>90</v>
      </c>
      <c r="G22" t="s">
        <v>89</v>
      </c>
      <c r="H22" t="s">
        <v>153</v>
      </c>
      <c r="I22" t="s">
        <v>153</v>
      </c>
      <c r="J22" t="s">
        <v>153</v>
      </c>
      <c r="K22" t="s">
        <v>153</v>
      </c>
      <c r="L22" t="s">
        <v>153</v>
      </c>
      <c r="M22" t="s">
        <v>153</v>
      </c>
    </row>
    <row r="23" spans="2:13" x14ac:dyDescent="0.25">
      <c r="B23" t="str">
        <f>IF(lookups!$B$29='electric calculations'!$H$3,'electric calculations'!H23,IF(lookups!$B$29='electric calculations'!$I$3,I23,IF(lookups!$B$29='electric calculations'!$J$3,J23,IF(lookups!$B$29='electric calculations'!$K$3,K23,IF(lookups!$B$29='electric calculations'!$L$3,L23,IF(lookups!$B$29='electric calculations'!$M$3,M23,"No"))))))</f>
        <v>No</v>
      </c>
      <c r="C23" t="s">
        <v>25</v>
      </c>
      <c r="D23">
        <f>Inputs!C79</f>
        <v>54</v>
      </c>
      <c r="E23">
        <v>54</v>
      </c>
      <c r="F23" t="s">
        <v>90</v>
      </c>
      <c r="G23" t="s">
        <v>91</v>
      </c>
      <c r="H23" t="s">
        <v>153</v>
      </c>
      <c r="I23" t="s">
        <v>153</v>
      </c>
      <c r="J23" t="s">
        <v>153</v>
      </c>
      <c r="K23" t="s">
        <v>153</v>
      </c>
      <c r="L23" t="s">
        <v>153</v>
      </c>
      <c r="M23" t="s">
        <v>153</v>
      </c>
    </row>
    <row r="24" spans="2:13" x14ac:dyDescent="0.25">
      <c r="B24" t="str">
        <f>IF(lookups!$B$29='electric calculations'!$H$3,'electric calculations'!H24,IF(lookups!$B$29='electric calculations'!$I$3,I24,IF(lookups!$B$29='electric calculations'!$J$3,J24,IF(lookups!$B$29='electric calculations'!$K$3,K24,IF(lookups!$B$29='electric calculations'!$L$3,L24,IF(lookups!$B$29='electric calculations'!$M$3,M24,"No"))))))</f>
        <v>No</v>
      </c>
      <c r="C24" t="s">
        <v>165</v>
      </c>
      <c r="D24">
        <f>Inputs!C80</f>
        <v>1</v>
      </c>
      <c r="E24">
        <v>1</v>
      </c>
      <c r="F24" t="s">
        <v>169</v>
      </c>
      <c r="G24" t="s">
        <v>168</v>
      </c>
      <c r="H24" t="s">
        <v>153</v>
      </c>
      <c r="I24" t="s">
        <v>153</v>
      </c>
      <c r="J24" t="s">
        <v>153</v>
      </c>
      <c r="K24" t="s">
        <v>153</v>
      </c>
      <c r="L24" t="s">
        <v>153</v>
      </c>
      <c r="M24" t="s">
        <v>153</v>
      </c>
    </row>
    <row r="25" spans="2:13" x14ac:dyDescent="0.25">
      <c r="B25" t="str">
        <f>IF(lookups!$B$29='electric calculations'!$H$3,'electric calculations'!H25,IF(lookups!$B$29='electric calculations'!$I$3,I25,IF(lookups!$B$29='electric calculations'!$J$3,J25,IF(lookups!$B$29='electric calculations'!$K$3,K25,IF(lookups!$B$29='electric calculations'!$L$3,L25,IF(lookups!$B$29='electric calculations'!$M$3,M25,"No"))))))</f>
        <v>No</v>
      </c>
      <c r="C25" t="s">
        <v>165</v>
      </c>
      <c r="D25" s="3">
        <f>Inputs!C81</f>
        <v>3412</v>
      </c>
      <c r="E25" s="3">
        <v>3412</v>
      </c>
      <c r="F25" t="s">
        <v>181</v>
      </c>
      <c r="G25" t="s">
        <v>170</v>
      </c>
      <c r="H25" t="s">
        <v>153</v>
      </c>
      <c r="I25" t="s">
        <v>153</v>
      </c>
      <c r="J25" t="s">
        <v>153</v>
      </c>
      <c r="K25" t="s">
        <v>153</v>
      </c>
      <c r="L25" t="s">
        <v>153</v>
      </c>
      <c r="M25" t="s">
        <v>153</v>
      </c>
    </row>
    <row r="26" spans="2:13" x14ac:dyDescent="0.25">
      <c r="E26" s="3" t="s">
        <v>437</v>
      </c>
    </row>
    <row r="27" spans="2:13" ht="45" x14ac:dyDescent="0.25">
      <c r="B27" t="s">
        <v>2</v>
      </c>
      <c r="G27" s="56" t="s">
        <v>184</v>
      </c>
    </row>
    <row r="28" spans="2:13" x14ac:dyDescent="0.25">
      <c r="B28" t="s">
        <v>1</v>
      </c>
    </row>
    <row r="30" spans="2:13" x14ac:dyDescent="0.25">
      <c r="B30" s="334" t="s">
        <v>61</v>
      </c>
      <c r="C30" s="335"/>
      <c r="D30" s="335"/>
      <c r="E30" s="335"/>
      <c r="F30" s="336"/>
    </row>
    <row r="31" spans="2:13" x14ac:dyDescent="0.25">
      <c r="B31" s="337" t="str">
        <f>lookups!B20</f>
        <v>New construction, non-fuel switch</v>
      </c>
      <c r="C31" s="338"/>
      <c r="D31" s="338"/>
      <c r="E31" s="338"/>
      <c r="F31" s="339"/>
    </row>
    <row r="32" spans="2:13" x14ac:dyDescent="0.25">
      <c r="B32" s="325" t="str">
        <f>lookups!B21</f>
        <v>Time of Sale, non-fuel switch</v>
      </c>
      <c r="C32" s="326"/>
      <c r="D32" s="326"/>
      <c r="E32" s="326"/>
      <c r="F32" s="327"/>
    </row>
    <row r="33" spans="2:6" x14ac:dyDescent="0.25">
      <c r="B33" t="s">
        <v>4</v>
      </c>
    </row>
    <row r="34" spans="2:6" x14ac:dyDescent="0.25">
      <c r="B34" t="s">
        <v>5</v>
      </c>
    </row>
    <row r="35" spans="2:6" x14ac:dyDescent="0.25">
      <c r="B35" t="s">
        <v>6</v>
      </c>
    </row>
    <row r="36" spans="2:6" x14ac:dyDescent="0.25">
      <c r="B36" t="s">
        <v>7</v>
      </c>
    </row>
    <row r="38" spans="2:6" x14ac:dyDescent="0.25">
      <c r="B38" s="88">
        <f>IFERROR((D4*D5*(1/D7-1/D8))/1000,0)</f>
        <v>0</v>
      </c>
      <c r="C38" s="8" t="s">
        <v>10</v>
      </c>
      <c r="D38" s="8" t="s">
        <v>219</v>
      </c>
    </row>
    <row r="39" spans="2:6" x14ac:dyDescent="0.25">
      <c r="B39" s="88">
        <f>IFERROR(D9*((D10*D11*(1/D13-1/(D15*D16)))/1000),0)</f>
        <v>0</v>
      </c>
      <c r="C39" s="8" t="s">
        <v>8</v>
      </c>
      <c r="D39" s="8" t="s">
        <v>219</v>
      </c>
    </row>
    <row r="40" spans="2:6" x14ac:dyDescent="0.25">
      <c r="B40" s="8">
        <f>IFERROR(D17*(D18*((1/D19)*D20*D21*(D22-D23)*1/D25)),0)</f>
        <v>0</v>
      </c>
      <c r="C40" s="8" t="s">
        <v>9</v>
      </c>
      <c r="D40" s="8" t="s">
        <v>219</v>
      </c>
    </row>
    <row r="41" spans="2:6" x14ac:dyDescent="0.25">
      <c r="B41" s="88">
        <f>B38+B39+B40</f>
        <v>0</v>
      </c>
      <c r="C41" s="8" t="s">
        <v>11</v>
      </c>
      <c r="D41" s="8" t="s">
        <v>219</v>
      </c>
    </row>
    <row r="42" spans="2:6" x14ac:dyDescent="0.25">
      <c r="B42" s="8"/>
      <c r="C42" s="8"/>
      <c r="D42" s="8"/>
    </row>
    <row r="43" spans="2:6" x14ac:dyDescent="0.25">
      <c r="B43" s="8" t="s">
        <v>297</v>
      </c>
      <c r="C43" s="8" t="s">
        <v>297</v>
      </c>
      <c r="D43" s="8" t="s">
        <v>297</v>
      </c>
    </row>
    <row r="44" spans="2:6" x14ac:dyDescent="0.25">
      <c r="B44" s="8" t="s">
        <v>297</v>
      </c>
      <c r="C44" s="8" t="s">
        <v>297</v>
      </c>
      <c r="D44" s="8" t="s">
        <v>297</v>
      </c>
    </row>
    <row r="45" spans="2:6" x14ac:dyDescent="0.25">
      <c r="B45" s="8" t="s">
        <v>297</v>
      </c>
      <c r="C45" s="8" t="s">
        <v>297</v>
      </c>
      <c r="D45" s="8" t="s">
        <v>297</v>
      </c>
    </row>
    <row r="46" spans="2:6" x14ac:dyDescent="0.25">
      <c r="B46" s="8" t="s">
        <v>297</v>
      </c>
      <c r="C46" s="8" t="s">
        <v>297</v>
      </c>
      <c r="D46" s="8" t="s">
        <v>297</v>
      </c>
    </row>
    <row r="48" spans="2:6" x14ac:dyDescent="0.25">
      <c r="B48" s="334" t="s">
        <v>61</v>
      </c>
      <c r="C48" s="335"/>
      <c r="D48" s="335"/>
      <c r="E48" s="335"/>
      <c r="F48" s="336"/>
    </row>
    <row r="49" spans="2:6" x14ac:dyDescent="0.25">
      <c r="B49" s="340" t="str">
        <f>lookups!B24</f>
        <v>New construction, fuel switch</v>
      </c>
      <c r="C49" s="341"/>
      <c r="D49" s="341"/>
      <c r="E49" s="341"/>
      <c r="F49" s="342"/>
    </row>
    <row r="50" spans="2:6" x14ac:dyDescent="0.25">
      <c r="B50" s="325" t="str">
        <f>lookups!B25</f>
        <v>Time of Sale, fuel switch</v>
      </c>
      <c r="C50" s="326"/>
      <c r="D50" s="326"/>
      <c r="E50" s="326"/>
      <c r="F50" s="327"/>
    </row>
    <row r="52" spans="2:6" x14ac:dyDescent="0.25">
      <c r="B52" t="s">
        <v>207</v>
      </c>
    </row>
    <row r="53" spans="2:6" x14ac:dyDescent="0.25">
      <c r="B53" t="s">
        <v>206</v>
      </c>
    </row>
    <row r="54" spans="2:6" x14ac:dyDescent="0.25">
      <c r="B54" t="s">
        <v>208</v>
      </c>
    </row>
    <row r="55" spans="2:6" x14ac:dyDescent="0.25">
      <c r="B55" t="s">
        <v>209</v>
      </c>
    </row>
    <row r="57" spans="2:6" x14ac:dyDescent="0.25">
      <c r="B57" s="86">
        <f>IFERROR((D4*D5*(1/D7-1/D8))/1000,0)</f>
        <v>0</v>
      </c>
      <c r="C57" s="8" t="s">
        <v>10</v>
      </c>
      <c r="D57" s="8" t="s">
        <v>219</v>
      </c>
    </row>
    <row r="58" spans="2:6" x14ac:dyDescent="0.25">
      <c r="B58" s="88">
        <f>IFERROR(((D10*D11*(1/D14-1/(D15*D16)))/1000),0)</f>
        <v>0</v>
      </c>
      <c r="C58" s="8" t="s">
        <v>210</v>
      </c>
      <c r="D58" s="8" t="s">
        <v>219</v>
      </c>
    </row>
    <row r="59" spans="2:6" x14ac:dyDescent="0.25">
      <c r="B59" s="8">
        <f>IFERROR(D17*(D18*((1/D19)*D20*D21*(D22-D23)*1/D25)),0)</f>
        <v>0</v>
      </c>
      <c r="C59" s="8" t="s">
        <v>9</v>
      </c>
      <c r="D59" s="8" t="s">
        <v>219</v>
      </c>
    </row>
    <row r="60" spans="2:6" x14ac:dyDescent="0.25">
      <c r="B60" s="87">
        <f>B57+B58+B59</f>
        <v>0</v>
      </c>
      <c r="C60" s="8" t="s">
        <v>11</v>
      </c>
      <c r="D60" s="8" t="s">
        <v>219</v>
      </c>
    </row>
    <row r="61" spans="2:6" x14ac:dyDescent="0.25">
      <c r="B61" s="8"/>
      <c r="C61" s="8"/>
      <c r="D61" s="8"/>
    </row>
    <row r="62" spans="2:6" x14ac:dyDescent="0.25">
      <c r="B62" s="8" t="s">
        <v>297</v>
      </c>
      <c r="C62" s="8" t="s">
        <v>297</v>
      </c>
      <c r="D62" s="8" t="s">
        <v>297</v>
      </c>
    </row>
    <row r="63" spans="2:6" x14ac:dyDescent="0.25">
      <c r="B63" s="8" t="s">
        <v>297</v>
      </c>
      <c r="C63" s="8" t="s">
        <v>297</v>
      </c>
      <c r="D63" s="8" t="s">
        <v>297</v>
      </c>
    </row>
    <row r="64" spans="2:6" x14ac:dyDescent="0.25">
      <c r="B64" s="8" t="s">
        <v>297</v>
      </c>
      <c r="C64" s="8" t="s">
        <v>297</v>
      </c>
      <c r="D64" s="8" t="s">
        <v>297</v>
      </c>
    </row>
    <row r="65" spans="2:6" x14ac:dyDescent="0.25">
      <c r="B65" s="8" t="s">
        <v>297</v>
      </c>
      <c r="C65" s="8" t="s">
        <v>297</v>
      </c>
      <c r="D65" s="8" t="s">
        <v>297</v>
      </c>
    </row>
    <row r="67" spans="2:6" x14ac:dyDescent="0.25">
      <c r="B67" s="331" t="s">
        <v>61</v>
      </c>
      <c r="C67" s="332"/>
      <c r="D67" s="332"/>
      <c r="E67" s="332"/>
      <c r="F67" s="333"/>
    </row>
    <row r="68" spans="2:6" x14ac:dyDescent="0.25">
      <c r="B68" s="328" t="str">
        <f>lookups!B22</f>
        <v>Early Replacement, non-fuel switch</v>
      </c>
      <c r="C68" s="329"/>
      <c r="D68" s="329"/>
      <c r="E68" s="329"/>
      <c r="F68" s="330"/>
    </row>
    <row r="70" spans="2:6" x14ac:dyDescent="0.25">
      <c r="B70" t="s">
        <v>212</v>
      </c>
    </row>
    <row r="71" spans="2:6" x14ac:dyDescent="0.25">
      <c r="B71" t="s">
        <v>221</v>
      </c>
    </row>
    <row r="72" spans="2:6" x14ac:dyDescent="0.25">
      <c r="B72" t="s">
        <v>213</v>
      </c>
    </row>
    <row r="73" spans="2:6" x14ac:dyDescent="0.25">
      <c r="B73" t="s">
        <v>7</v>
      </c>
    </row>
    <row r="75" spans="2:6" x14ac:dyDescent="0.25">
      <c r="B75" t="s">
        <v>214</v>
      </c>
    </row>
    <row r="76" spans="2:6" x14ac:dyDescent="0.25">
      <c r="B76" t="s">
        <v>5</v>
      </c>
    </row>
    <row r="77" spans="2:6" x14ac:dyDescent="0.25">
      <c r="B77" t="s">
        <v>215</v>
      </c>
    </row>
    <row r="78" spans="2:6" x14ac:dyDescent="0.25">
      <c r="B78" t="s">
        <v>216</v>
      </c>
    </row>
    <row r="80" spans="2:6" x14ac:dyDescent="0.25">
      <c r="B80" s="8">
        <f>IFERROR((D4*D5*(1/D6-1/D8))/1000,0)</f>
        <v>0</v>
      </c>
      <c r="C80" s="8" t="s">
        <v>10</v>
      </c>
      <c r="D80" s="8" t="s">
        <v>217</v>
      </c>
      <c r="F80" t="s">
        <v>221</v>
      </c>
    </row>
    <row r="81" spans="2:6" x14ac:dyDescent="0.25">
      <c r="B81" s="8">
        <f>IFERROR(D9*((D10*D11*(1/D12-1/(D15*D16)))/1000),0)</f>
        <v>0</v>
      </c>
      <c r="C81" s="8" t="s">
        <v>8</v>
      </c>
      <c r="D81" s="8" t="s">
        <v>217</v>
      </c>
      <c r="F81" t="s">
        <v>222</v>
      </c>
    </row>
    <row r="82" spans="2:6" x14ac:dyDescent="0.25">
      <c r="B82" s="8">
        <f>IFERROR(D17*(D18*((1/D19)*D20*D21*(D22-D23)*1/D25)),0)</f>
        <v>0</v>
      </c>
      <c r="C82" s="8" t="s">
        <v>9</v>
      </c>
      <c r="D82" s="8" t="s">
        <v>217</v>
      </c>
      <c r="F82" t="s">
        <v>216</v>
      </c>
    </row>
    <row r="83" spans="2:6" x14ac:dyDescent="0.25">
      <c r="B83" s="8">
        <f>SUM(B80:B82)</f>
        <v>0</v>
      </c>
      <c r="C83" s="8" t="s">
        <v>11</v>
      </c>
      <c r="D83" s="8" t="s">
        <v>217</v>
      </c>
    </row>
    <row r="84" spans="2:6" x14ac:dyDescent="0.25">
      <c r="B84" s="8"/>
      <c r="C84" s="8"/>
      <c r="D84" s="8"/>
    </row>
    <row r="85" spans="2:6" x14ac:dyDescent="0.25">
      <c r="B85" s="8">
        <f>IFERROR((D4*D5*(1/D7-1/D8))/1000,0)</f>
        <v>0</v>
      </c>
      <c r="C85" s="8" t="s">
        <v>10</v>
      </c>
      <c r="D85" s="8" t="s">
        <v>218</v>
      </c>
    </row>
    <row r="86" spans="2:6" x14ac:dyDescent="0.25">
      <c r="B86" s="8">
        <f>IFERROR(D9*((D10*D11*(1/D13-1/(D15*D16)))/1000),0)</f>
        <v>0</v>
      </c>
      <c r="C86" s="8" t="s">
        <v>8</v>
      </c>
      <c r="D86" s="8" t="s">
        <v>218</v>
      </c>
    </row>
    <row r="87" spans="2:6" x14ac:dyDescent="0.25">
      <c r="B87" s="8">
        <f>IFERROR(D17*(D18*((1/D19)*D20*D21*(D22-D23)*1/D25)),0)</f>
        <v>0</v>
      </c>
      <c r="C87" s="8" t="s">
        <v>9</v>
      </c>
      <c r="D87" s="8" t="s">
        <v>218</v>
      </c>
    </row>
    <row r="88" spans="2:6" x14ac:dyDescent="0.25">
      <c r="B88" s="8">
        <f>SUM(B85:B87)</f>
        <v>0</v>
      </c>
      <c r="C88" s="8" t="s">
        <v>11</v>
      </c>
      <c r="D88" s="8" t="s">
        <v>218</v>
      </c>
    </row>
    <row r="90" spans="2:6" x14ac:dyDescent="0.25">
      <c r="B90" s="331" t="s">
        <v>61</v>
      </c>
      <c r="C90" s="332"/>
      <c r="D90" s="332"/>
      <c r="E90" s="332"/>
      <c r="F90" s="333"/>
    </row>
    <row r="91" spans="2:6" x14ac:dyDescent="0.25">
      <c r="B91" s="328" t="str">
        <f>lookups!B23</f>
        <v>Early Replacement, fuel switch</v>
      </c>
      <c r="C91" s="329"/>
      <c r="D91" s="329"/>
      <c r="E91" s="329"/>
      <c r="F91" s="330"/>
    </row>
    <row r="93" spans="2:6" x14ac:dyDescent="0.25">
      <c r="B93" s="2" t="s">
        <v>220</v>
      </c>
    </row>
    <row r="94" spans="2:6" x14ac:dyDescent="0.25">
      <c r="B94" t="s">
        <v>221</v>
      </c>
    </row>
    <row r="95" spans="2:6" x14ac:dyDescent="0.25">
      <c r="B95" t="s">
        <v>222</v>
      </c>
    </row>
    <row r="96" spans="2:6" x14ac:dyDescent="0.25">
      <c r="B96" t="s">
        <v>216</v>
      </c>
    </row>
    <row r="98" spans="2:4" x14ac:dyDescent="0.25">
      <c r="B98" s="2" t="s">
        <v>223</v>
      </c>
    </row>
    <row r="99" spans="2:4" x14ac:dyDescent="0.25">
      <c r="B99" s="2" t="s">
        <v>5</v>
      </c>
    </row>
    <row r="100" spans="2:4" x14ac:dyDescent="0.25">
      <c r="B100" s="2" t="s">
        <v>222</v>
      </c>
    </row>
    <row r="101" spans="2:4" x14ac:dyDescent="0.25">
      <c r="B101" s="2" t="s">
        <v>216</v>
      </c>
    </row>
    <row r="103" spans="2:4" x14ac:dyDescent="0.25">
      <c r="B103" s="8">
        <f>IFERROR((D4*D5*(1/D6-1/D8))/1000,0)</f>
        <v>0</v>
      </c>
      <c r="C103" s="8" t="s">
        <v>10</v>
      </c>
      <c r="D103" s="8" t="s">
        <v>217</v>
      </c>
    </row>
    <row r="104" spans="2:4" x14ac:dyDescent="0.25">
      <c r="B104" s="8">
        <f>IFERROR(((D10*D11*(1/D14-1/(D15*D16)))/1000),0)</f>
        <v>0</v>
      </c>
      <c r="C104" s="8" t="s">
        <v>312</v>
      </c>
      <c r="D104" s="8" t="s">
        <v>217</v>
      </c>
    </row>
    <row r="105" spans="2:4" x14ac:dyDescent="0.25">
      <c r="B105" s="8">
        <f>IFERROR(D17*(D18*((1/D19)*D20*D21*(D22-D23)*1/D25)),0)</f>
        <v>0</v>
      </c>
      <c r="C105" s="8" t="s">
        <v>9</v>
      </c>
      <c r="D105" s="8" t="s">
        <v>217</v>
      </c>
    </row>
    <row r="106" spans="2:4" x14ac:dyDescent="0.25">
      <c r="B106" s="8">
        <f>SUM(B103:B105)</f>
        <v>0</v>
      </c>
      <c r="C106" s="8" t="s">
        <v>11</v>
      </c>
      <c r="D106" s="8" t="s">
        <v>217</v>
      </c>
    </row>
    <row r="107" spans="2:4" x14ac:dyDescent="0.25">
      <c r="B107" s="8"/>
      <c r="C107" s="8"/>
      <c r="D107" s="8"/>
    </row>
    <row r="108" spans="2:4" x14ac:dyDescent="0.25">
      <c r="B108" s="8">
        <f>IFERROR((D4*D5*(1/D7-1/D8))/1000,0)</f>
        <v>0</v>
      </c>
      <c r="C108" s="8" t="s">
        <v>10</v>
      </c>
      <c r="D108" s="8" t="s">
        <v>218</v>
      </c>
    </row>
    <row r="109" spans="2:4" x14ac:dyDescent="0.25">
      <c r="B109" s="8">
        <f>IFERROR(((D10*D11*(1/D14-1/(D15*D16)))/1000),0)</f>
        <v>0</v>
      </c>
      <c r="C109" s="8" t="s">
        <v>312</v>
      </c>
      <c r="D109" s="8" t="s">
        <v>218</v>
      </c>
    </row>
    <row r="110" spans="2:4" x14ac:dyDescent="0.25">
      <c r="B110" s="8">
        <f>IFERROR(D17*(D18*((1/D19)*D20*D21*(D22-D23)*1/D25)),0)</f>
        <v>0</v>
      </c>
      <c r="C110" s="8" t="s">
        <v>9</v>
      </c>
      <c r="D110" s="8" t="s">
        <v>218</v>
      </c>
    </row>
    <row r="111" spans="2:4" x14ac:dyDescent="0.25">
      <c r="B111" s="8">
        <f>SUM(B108:B110)</f>
        <v>0</v>
      </c>
      <c r="C111" s="8" t="s">
        <v>11</v>
      </c>
      <c r="D111" s="8" t="s">
        <v>218</v>
      </c>
    </row>
    <row r="115" spans="2:4" x14ac:dyDescent="0.25">
      <c r="B115" s="24" t="s">
        <v>296</v>
      </c>
      <c r="C115" s="24"/>
      <c r="D115" s="24"/>
    </row>
    <row r="116" spans="2:4" x14ac:dyDescent="0.25">
      <c r="B116" s="24" t="str">
        <f>IF(OR(lookups!$B$29='electric calculations'!$B$31,lookups!$B$29='electric calculations'!$B$32),'electric calculations'!B38,IF(OR(lookups!$B$29='electric calculations'!$B$49,lookups!$B$29='electric calculations'!$B$50),'electric calculations'!B57,IF(lookups!$B$29='electric calculations'!$B$68,B80,IF(lookups!$B$29='electric calculations'!$B$91,B103,"Incomplete"))))</f>
        <v>Incomplete</v>
      </c>
      <c r="C116" s="24" t="str">
        <f>IF(OR(lookups!$B$29='electric calculations'!$B$31,lookups!$B$29='electric calculations'!$B$32),'electric calculations'!C38,IF(OR(lookups!$B$29='electric calculations'!$B$49,lookups!$B$29='electric calculations'!$B$50),'electric calculations'!C57,IF(lookups!$B$29='electric calculations'!$B$68,C80,IF(lookups!$B$29='electric calculations'!$B$91,C103,"Incomplete"))))</f>
        <v>Incomplete</v>
      </c>
      <c r="D116" s="24" t="str">
        <f>IF(OR(lookups!$B$29='electric calculations'!$B$31,lookups!$B$29='electric calculations'!$B$32),'electric calculations'!D38,IF(OR(lookups!$B$29='electric calculations'!$B$49,lookups!$B$29='electric calculations'!$B$50),'electric calculations'!D57,IF(lookups!$B$29='electric calculations'!$B$68,D80,IF(lookups!$B$29='electric calculations'!$B$91,D103,"Incomplete"))))</f>
        <v>Incomplete</v>
      </c>
    </row>
    <row r="117" spans="2:4" x14ac:dyDescent="0.25">
      <c r="B117" s="24" t="str">
        <f>IF(OR(lookups!$B$29='electric calculations'!$B$31,lookups!$B$29='electric calculations'!$B$32),'electric calculations'!B39,IF(OR(lookups!$B$29='electric calculations'!$B$49,lookups!$B$29='electric calculations'!$B$50),'electric calculations'!B58,IF(lookups!$B$29='electric calculations'!$B$68,B81,IF(lookups!$B$29='electric calculations'!$B$91,B104,"Incomplete"))))</f>
        <v>Incomplete</v>
      </c>
      <c r="C117" s="24" t="str">
        <f>IF(OR(lookups!$B$29='electric calculations'!$B$31,lookups!$B$29='electric calculations'!$B$32),'electric calculations'!C39,IF(OR(lookups!$B$29='electric calculations'!$B$49,lookups!$B$29='electric calculations'!$B$50),'electric calculations'!C58,IF(lookups!$B$29='electric calculations'!$B$68,C81,IF(lookups!$B$29='electric calculations'!$B$91,C104,"Incomplete"))))</f>
        <v>Incomplete</v>
      </c>
      <c r="D117" s="24" t="str">
        <f>IF(OR(lookups!$B$29='electric calculations'!$B$31,lookups!$B$29='electric calculations'!$B$32),'electric calculations'!D39,IF(OR(lookups!$B$29='electric calculations'!$B$49,lookups!$B$29='electric calculations'!$B$50),'electric calculations'!D58,IF(lookups!$B$29='electric calculations'!$B$68,D81,IF(lookups!$B$29='electric calculations'!$B$91,D104,"Incomplete"))))</f>
        <v>Incomplete</v>
      </c>
    </row>
    <row r="118" spans="2:4" x14ac:dyDescent="0.25">
      <c r="B118" s="24" t="str">
        <f>IF(OR(lookups!$B$29='electric calculations'!$B$31,lookups!$B$29='electric calculations'!$B$32),'electric calculations'!B40,IF(OR(lookups!$B$29='electric calculations'!$B$49,lookups!$B$29='electric calculations'!$B$50),'electric calculations'!B59,IF(lookups!$B$29='electric calculations'!$B$68,B82,IF(lookups!$B$29='electric calculations'!$B$91,B105,"Incomplete"))))</f>
        <v>Incomplete</v>
      </c>
      <c r="C118" s="24" t="str">
        <f>IF(OR(lookups!$B$29='electric calculations'!$B$31,lookups!$B$29='electric calculations'!$B$32),'electric calculations'!C40,IF(OR(lookups!$B$29='electric calculations'!$B$49,lookups!$B$29='electric calculations'!$B$50),'electric calculations'!C59,IF(lookups!$B$29='electric calculations'!$B$68,C82,IF(lookups!$B$29='electric calculations'!$B$91,C105,"Incomplete"))))</f>
        <v>Incomplete</v>
      </c>
      <c r="D118" s="24" t="str">
        <f>IF(OR(lookups!$B$29='electric calculations'!$B$31,lookups!$B$29='electric calculations'!$B$32),'electric calculations'!D40,IF(OR(lookups!$B$29='electric calculations'!$B$49,lookups!$B$29='electric calculations'!$B$50),'electric calculations'!D59,IF(lookups!$B$29='electric calculations'!$B$68,D82,IF(lookups!$B$29='electric calculations'!$B$91,D105,"Incomplete"))))</f>
        <v>Incomplete</v>
      </c>
    </row>
    <row r="119" spans="2:4" x14ac:dyDescent="0.25">
      <c r="B119" s="24" t="str">
        <f>IF(OR(lookups!$B$29='electric calculations'!$B$31,lookups!$B$29='electric calculations'!$B$32),'electric calculations'!B41,IF(OR(lookups!$B$29='electric calculations'!$B$49,lookups!$B$29='electric calculations'!$B$50),'electric calculations'!B60,IF(lookups!$B$29='electric calculations'!$B$68,B83,IF(lookups!$B$29='electric calculations'!$B$91,B106,"Incomplete"))))</f>
        <v>Incomplete</v>
      </c>
      <c r="C119" s="24" t="str">
        <f>IF(OR(lookups!$B$29='electric calculations'!$B$31,lookups!$B$29='electric calculations'!$B$32),'electric calculations'!C41,IF(OR(lookups!$B$29='electric calculations'!$B$49,lookups!$B$29='electric calculations'!$B$50),'electric calculations'!C60,IF(lookups!$B$29='electric calculations'!$B$68,C83,IF(lookups!$B$29='electric calculations'!$B$91,C106,"Incomplete"))))</f>
        <v>Incomplete</v>
      </c>
      <c r="D119" s="24" t="str">
        <f>IF(OR(lookups!$B$29='electric calculations'!$B$31,lookups!$B$29='electric calculations'!$B$32),'electric calculations'!D41,IF(OR(lookups!$B$29='electric calculations'!$B$49,lookups!$B$29='electric calculations'!$B$50),'electric calculations'!D60,IF(lookups!$B$29='electric calculations'!$B$68,D83,IF(lookups!$B$29='electric calculations'!$B$91,D106,"Incomplete"))))</f>
        <v>Incomplete</v>
      </c>
    </row>
    <row r="120" spans="2:4" x14ac:dyDescent="0.25">
      <c r="B120" s="24"/>
      <c r="C120" s="24"/>
      <c r="D120" s="24"/>
    </row>
    <row r="121" spans="2:4" x14ac:dyDescent="0.25">
      <c r="B121" s="24" t="str">
        <f>IF(OR(lookups!$B$29='electric calculations'!$B$31,lookups!$B$29='electric calculations'!$B$32),'electric calculations'!B43,IF(OR(lookups!$B$29='electric calculations'!$B$49,lookups!$B$29='electric calculations'!$B$50),'electric calculations'!B62,IF(lookups!$B$29='electric calculations'!$B$68,B85,IF(lookups!$B$29='electric calculations'!$B$91,B108,"Incomplete"))))</f>
        <v>Incomplete</v>
      </c>
      <c r="C121" s="24" t="str">
        <f>IF(OR(lookups!$B$29='electric calculations'!$B$31,lookups!$B$29='electric calculations'!$B$32),'electric calculations'!C43,IF(OR(lookups!$B$29='electric calculations'!$B$49,lookups!$B$29='electric calculations'!$B$50),'electric calculations'!C62,IF(lookups!$B$29='electric calculations'!$B$68,C85,IF(lookups!$B$29='electric calculations'!$B$91,C108,"Incomplete"))))</f>
        <v>Incomplete</v>
      </c>
      <c r="D121" s="24" t="str">
        <f>IF(OR(lookups!$B$29='electric calculations'!$B$31,lookups!$B$29='electric calculations'!$B$32),'electric calculations'!D43,IF(OR(lookups!$B$29='electric calculations'!$B$49,lookups!$B$29='electric calculations'!$B$50),'electric calculations'!D62,IF(lookups!$B$29='electric calculations'!$B$68,D85,IF(lookups!$B$29='electric calculations'!$B$91,D108,"Incomplete"))))</f>
        <v>Incomplete</v>
      </c>
    </row>
    <row r="122" spans="2:4" x14ac:dyDescent="0.25">
      <c r="B122" s="24" t="str">
        <f>IF(OR(lookups!$B$29='electric calculations'!$B$31,lookups!$B$29='electric calculations'!$B$32),'electric calculations'!B44,IF(OR(lookups!$B$29='electric calculations'!$B$49,lookups!$B$29='electric calculations'!$B$50),'electric calculations'!B63,IF(lookups!$B$29='electric calculations'!$B$68,B86,IF(lookups!$B$29='electric calculations'!$B$91,B109,"Incomplete"))))</f>
        <v>Incomplete</v>
      </c>
      <c r="C122" s="24" t="str">
        <f>IF(OR(lookups!$B$29='electric calculations'!$B$31,lookups!$B$29='electric calculations'!$B$32),'electric calculations'!C44,IF(OR(lookups!$B$29='electric calculations'!$B$49,lookups!$B$29='electric calculations'!$B$50),'electric calculations'!C63,IF(lookups!$B$29='electric calculations'!$B$68,C86,IF(lookups!$B$29='electric calculations'!$B$91,C109,"Incomplete"))))</f>
        <v>Incomplete</v>
      </c>
      <c r="D122" s="24" t="str">
        <f>IF(OR(lookups!$B$29='electric calculations'!$B$31,lookups!$B$29='electric calculations'!$B$32),'electric calculations'!D44,IF(OR(lookups!$B$29='electric calculations'!$B$49,lookups!$B$29='electric calculations'!$B$50),'electric calculations'!D63,IF(lookups!$B$29='electric calculations'!$B$68,D86,IF(lookups!$B$29='electric calculations'!$B$91,D109,"Incomplete"))))</f>
        <v>Incomplete</v>
      </c>
    </row>
    <row r="123" spans="2:4" x14ac:dyDescent="0.25">
      <c r="B123" s="24" t="str">
        <f>IF(OR(lookups!$B$29='electric calculations'!$B$31,lookups!$B$29='electric calculations'!$B$32),'electric calculations'!B45,IF(OR(lookups!$B$29='electric calculations'!$B$49,lookups!$B$29='electric calculations'!$B$50),'electric calculations'!B64,IF(lookups!$B$29='electric calculations'!$B$68,B87,IF(lookups!$B$29='electric calculations'!$B$91,B110,"Incomplete"))))</f>
        <v>Incomplete</v>
      </c>
      <c r="C123" s="24" t="str">
        <f>IF(OR(lookups!$B$29='electric calculations'!$B$31,lookups!$B$29='electric calculations'!$B$32),'electric calculations'!C45,IF(OR(lookups!$B$29='electric calculations'!$B$49,lookups!$B$29='electric calculations'!$B$50),'electric calculations'!C64,IF(lookups!$B$29='electric calculations'!$B$68,C87,IF(lookups!$B$29='electric calculations'!$B$91,C110,"Incomplete"))))</f>
        <v>Incomplete</v>
      </c>
      <c r="D123" s="24" t="str">
        <f>IF(OR(lookups!$B$29='electric calculations'!$B$31,lookups!$B$29='electric calculations'!$B$32),'electric calculations'!D45,IF(OR(lookups!$B$29='electric calculations'!$B$49,lookups!$B$29='electric calculations'!$B$50),'electric calculations'!D64,IF(lookups!$B$29='electric calculations'!$B$68,D87,IF(lookups!$B$29='electric calculations'!$B$91,D110,"Incomplete"))))</f>
        <v>Incomplete</v>
      </c>
    </row>
    <row r="124" spans="2:4" x14ac:dyDescent="0.25">
      <c r="B124" s="24" t="str">
        <f>IF(OR(lookups!$B$29='electric calculations'!$B$31,lookups!$B$29='electric calculations'!$B$32),'electric calculations'!B46,IF(OR(lookups!$B$29='electric calculations'!$B$49,lookups!$B$29='electric calculations'!$B$50),'electric calculations'!B65,IF(lookups!$B$29='electric calculations'!$B$68,B88,IF(lookups!$B$29='electric calculations'!$B$91,B111,"Incomplete"))))</f>
        <v>Incomplete</v>
      </c>
      <c r="C124" s="24" t="str">
        <f>IF(OR(lookups!$B$29='electric calculations'!$B$31,lookups!$B$29='electric calculations'!$B$32),'electric calculations'!C46,IF(OR(lookups!$B$29='electric calculations'!$B$49,lookups!$B$29='electric calculations'!$B$50),'electric calculations'!C65,IF(lookups!$B$29='electric calculations'!$B$68,C88,IF(lookups!$B$29='electric calculations'!$B$91,C111,"Incomplete"))))</f>
        <v>Incomplete</v>
      </c>
      <c r="D124" s="24" t="str">
        <f>IF(OR(lookups!$B$29='electric calculations'!$B$31,lookups!$B$29='electric calculations'!$B$32),'electric calculations'!D46,IF(OR(lookups!$B$29='electric calculations'!$B$49,lookups!$B$29='electric calculations'!$B$50),'electric calculations'!D65,IF(lookups!$B$29='electric calculations'!$B$68,D88,IF(lookups!$B$29='electric calculations'!$B$91,D111,"Incomplete"))))</f>
        <v>Incomplete</v>
      </c>
    </row>
  </sheetData>
  <sheetProtection algorithmName="SHA-512" hashValue="DVL2gwnP+KNqcsGewgRCXz4kvI5XY6JeUVxg4J+LAy7yi5NT6mAJLEs4lgBj7Ey1DB47s/5A0P05ahWgivLa9A==" saltValue="3pKuHxAzuX6rO9O/75pT+w==" spinCount="100000" sheet="1" objects="1" scenarios="1" selectLockedCells="1" selectUnlockedCells="1"/>
  <mergeCells count="11">
    <mergeCell ref="H2:M2"/>
    <mergeCell ref="B50:F50"/>
    <mergeCell ref="B91:F91"/>
    <mergeCell ref="B90:F90"/>
    <mergeCell ref="B68:F68"/>
    <mergeCell ref="B67:F67"/>
    <mergeCell ref="B30:F30"/>
    <mergeCell ref="B31:F31"/>
    <mergeCell ref="B32:F32"/>
    <mergeCell ref="B48:F48"/>
    <mergeCell ref="B49:F4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C39D-EBF5-46A3-B4E3-A57254DB1248}">
  <dimension ref="B2:S99"/>
  <sheetViews>
    <sheetView workbookViewId="0">
      <selection activeCell="B93" sqref="B93"/>
    </sheetView>
  </sheetViews>
  <sheetFormatPr defaultRowHeight="15" x14ac:dyDescent="0.25"/>
  <cols>
    <col min="2" max="2" width="29.42578125" customWidth="1"/>
    <col min="3" max="3" width="17.140625" customWidth="1"/>
    <col min="4" max="4" width="13.5703125" bestFit="1" customWidth="1"/>
  </cols>
  <sheetData>
    <row r="2" spans="2:16" x14ac:dyDescent="0.25">
      <c r="B2" s="2"/>
      <c r="C2" s="2"/>
      <c r="D2" s="2"/>
      <c r="E2" s="2"/>
      <c r="F2" s="2"/>
      <c r="G2" s="2"/>
      <c r="H2" s="323" t="s">
        <v>154</v>
      </c>
      <c r="I2" s="323"/>
      <c r="J2" s="323"/>
      <c r="K2" s="323"/>
      <c r="L2" s="323"/>
      <c r="M2" s="323"/>
    </row>
    <row r="3" spans="2:16" x14ac:dyDescent="0.25">
      <c r="B3" s="2" t="s">
        <v>167</v>
      </c>
      <c r="C3" s="2" t="s">
        <v>64</v>
      </c>
      <c r="D3" s="2" t="s">
        <v>69</v>
      </c>
      <c r="E3" s="2" t="s">
        <v>65</v>
      </c>
      <c r="F3" s="2" t="s">
        <v>70</v>
      </c>
      <c r="G3" s="2" t="s">
        <v>66</v>
      </c>
      <c r="H3" s="25" t="s">
        <v>52</v>
      </c>
      <c r="I3" s="25" t="s">
        <v>53</v>
      </c>
      <c r="J3" s="25" t="s">
        <v>54</v>
      </c>
      <c r="K3" s="25" t="s">
        <v>55</v>
      </c>
      <c r="L3" s="118" t="s">
        <v>56</v>
      </c>
      <c r="M3" s="118" t="s">
        <v>57</v>
      </c>
    </row>
    <row r="4" spans="2:16" x14ac:dyDescent="0.25">
      <c r="B4" s="2" t="str">
        <f>IF(lookups!$B$29='gas calculations'!$H$3,'gas calculations'!H4,IF(lookups!$B$29='gas calculations'!$I$3,I4,IF(lookups!$B$29='gas calculations'!$J$3,J4,IF(lookups!$B$29='gas calculations'!$K$3,K4,IF(lookups!$B$29='gas calculations'!$L$3,L4,IF(lookups!$B$29='gas calculations'!$M$3,M4,"No"))))))</f>
        <v>No</v>
      </c>
      <c r="C4" s="121" t="s">
        <v>14</v>
      </c>
      <c r="D4" s="2" t="str">
        <f>'electric calculations'!D9</f>
        <v>Incomplete</v>
      </c>
      <c r="E4" s="2" t="str">
        <f>'electric calculations'!E9</f>
        <v>Incomplete</v>
      </c>
      <c r="F4" s="2" t="s">
        <v>77</v>
      </c>
      <c r="G4" s="2" t="s">
        <v>76</v>
      </c>
      <c r="H4" s="2" t="s">
        <v>153</v>
      </c>
      <c r="I4" s="2" t="s">
        <v>153</v>
      </c>
      <c r="J4" s="2" t="s">
        <v>153</v>
      </c>
      <c r="K4" s="2" t="s">
        <v>153</v>
      </c>
      <c r="L4" s="2" t="s">
        <v>153</v>
      </c>
      <c r="M4" s="2" t="s">
        <v>153</v>
      </c>
    </row>
    <row r="5" spans="2:16" x14ac:dyDescent="0.25">
      <c r="B5" s="2" t="str">
        <f>IF(lookups!$B$29='gas calculations'!$H$3,'gas calculations'!H5,IF(lookups!$B$29='gas calculations'!$I$3,I5,IF(lookups!$B$29='gas calculations'!$J$3,J5,IF(lookups!$B$29='gas calculations'!$K$3,K5,IF(lookups!$B$29='gas calculations'!$L$3,L5,IF(lookups!$B$29='gas calculations'!$M$3,M5,"No"))))))</f>
        <v>No</v>
      </c>
      <c r="C5" s="121" t="s">
        <v>15</v>
      </c>
      <c r="D5" s="2">
        <f>'electric calculations'!D10</f>
        <v>0</v>
      </c>
      <c r="E5" s="2" t="str">
        <f>'electric calculations'!E10</f>
        <v>Required Input</v>
      </c>
      <c r="F5" s="2" t="s">
        <v>72</v>
      </c>
      <c r="G5" s="2" t="s">
        <v>78</v>
      </c>
      <c r="H5" s="2" t="s">
        <v>153</v>
      </c>
      <c r="I5" s="2" t="s">
        <v>153</v>
      </c>
      <c r="J5" s="2" t="s">
        <v>153</v>
      </c>
      <c r="K5" s="2" t="s">
        <v>153</v>
      </c>
      <c r="L5" s="2" t="s">
        <v>153</v>
      </c>
      <c r="M5" s="2" t="s">
        <v>153</v>
      </c>
      <c r="O5" s="122"/>
    </row>
    <row r="6" spans="2:16" x14ac:dyDescent="0.25">
      <c r="B6" s="2" t="str">
        <f>IF(lookups!$B$29='gas calculations'!$H$3,'gas calculations'!H6,IF(lookups!$B$29='gas calculations'!$I$3,I6,IF(lookups!$B$29='gas calculations'!$J$3,J6,IF(lookups!$B$29='gas calculations'!$K$3,K6,IF(lookups!$B$29='gas calculations'!$L$3,L6,IF(lookups!$B$29='gas calculations'!$M$3,M6,"No"))))))</f>
        <v>No</v>
      </c>
      <c r="C6" s="121" t="s">
        <v>16</v>
      </c>
      <c r="D6" s="2" t="str">
        <f>'electric calculations'!D11</f>
        <v>Incomplete</v>
      </c>
      <c r="E6" s="2" t="str">
        <f>'electric calculations'!E11</f>
        <v>Incomplete</v>
      </c>
      <c r="F6" s="2" t="s">
        <v>74</v>
      </c>
      <c r="G6" s="2" t="s">
        <v>79</v>
      </c>
      <c r="H6" s="2" t="s">
        <v>153</v>
      </c>
      <c r="I6" s="2" t="s">
        <v>153</v>
      </c>
      <c r="J6" s="2" t="s">
        <v>153</v>
      </c>
      <c r="K6" s="2" t="s">
        <v>153</v>
      </c>
      <c r="L6" s="2" t="s">
        <v>153</v>
      </c>
      <c r="M6" s="2" t="s">
        <v>153</v>
      </c>
      <c r="O6" s="122"/>
    </row>
    <row r="7" spans="2:16" x14ac:dyDescent="0.25">
      <c r="B7" s="2" t="str">
        <f>IF(lookups!$B$29='gas calculations'!$H$3,'gas calculations'!H7,IF(lookups!$B$29='gas calculations'!$I$3,I7,IF(lookups!$B$29='gas calculations'!$J$3,J7,IF(lookups!$B$29='gas calculations'!$K$3,K7,IF(lookups!$B$29='gas calculations'!$L$3,L7,IF(lookups!$B$29='gas calculations'!$M$3,M7,"No"))))))</f>
        <v>No</v>
      </c>
      <c r="C7" s="121" t="s">
        <v>163</v>
      </c>
      <c r="D7" s="2" t="str">
        <f>'electric calculations'!D14</f>
        <v>Input CapacityHeat</v>
      </c>
      <c r="E7" s="2" t="str">
        <f>'electric calculations'!E14</f>
        <v>Input CapacityHeat</v>
      </c>
      <c r="F7" s="2" t="s">
        <v>80</v>
      </c>
      <c r="G7" s="2" t="s">
        <v>164</v>
      </c>
      <c r="H7" s="2" t="s">
        <v>161</v>
      </c>
      <c r="I7" s="2" t="s">
        <v>161</v>
      </c>
      <c r="J7" s="2" t="s">
        <v>161</v>
      </c>
      <c r="K7" s="2" t="s">
        <v>153</v>
      </c>
      <c r="L7" s="2" t="s">
        <v>153</v>
      </c>
      <c r="M7" s="2" t="s">
        <v>153</v>
      </c>
      <c r="O7" s="122"/>
    </row>
    <row r="8" spans="2:16" x14ac:dyDescent="0.25">
      <c r="B8" s="2" t="str">
        <f>IF(lookups!$B$29='gas calculations'!$H$3,'gas calculations'!H8,IF(lookups!$B$29='gas calculations'!$I$3,I8,IF(lookups!$B$29='gas calculations'!$J$3,J8,IF(lookups!$B$29='gas calculations'!$K$3,K8,IF(lookups!$B$29='gas calculations'!$L$3,L8,IF(lookups!$B$29='gas calculations'!$M$3,M8,"No"))))))</f>
        <v>No</v>
      </c>
      <c r="C8" s="2" t="s">
        <v>165</v>
      </c>
      <c r="D8" s="119">
        <f>Inputs!C74</f>
        <v>3.4119999999999999</v>
      </c>
      <c r="E8" s="119">
        <v>3.4119999999999999</v>
      </c>
      <c r="F8" s="2" t="s">
        <v>181</v>
      </c>
      <c r="G8" s="2" t="s">
        <v>166</v>
      </c>
      <c r="H8" s="2" t="s">
        <v>153</v>
      </c>
      <c r="I8" s="2" t="s">
        <v>153</v>
      </c>
      <c r="J8" s="2" t="s">
        <v>153</v>
      </c>
      <c r="K8" s="2" t="s">
        <v>153</v>
      </c>
      <c r="L8" s="2" t="s">
        <v>153</v>
      </c>
      <c r="M8" s="2" t="s">
        <v>153</v>
      </c>
      <c r="O8" s="122"/>
    </row>
    <row r="9" spans="2:16" x14ac:dyDescent="0.25">
      <c r="B9" s="2" t="str">
        <f>IF(lookups!$B$29='gas calculations'!$H$3,'gas calculations'!H9,IF(lookups!$B$29='gas calculations'!$I$3,I9,IF(lookups!$B$29='gas calculations'!$J$3,J9,IF(lookups!$B$29='gas calculations'!$K$3,K9,IF(lookups!$B$29='gas calculations'!$L$3,L9,IF(lookups!$B$29='gas calculations'!$M$3,M9,"No"))))))</f>
        <v>No</v>
      </c>
      <c r="C9" s="121" t="s">
        <v>19</v>
      </c>
      <c r="D9" s="2">
        <f>'electric calculations'!D17</f>
        <v>0</v>
      </c>
      <c r="E9" s="2" t="str">
        <f>'electric calculations'!E17</f>
        <v>Tool incomplete</v>
      </c>
      <c r="F9" s="2" t="s">
        <v>77</v>
      </c>
      <c r="G9" s="2" t="s">
        <v>82</v>
      </c>
      <c r="H9" s="2" t="s">
        <v>153</v>
      </c>
      <c r="I9" s="2" t="s">
        <v>153</v>
      </c>
      <c r="J9" s="2" t="s">
        <v>153</v>
      </c>
      <c r="K9" s="2" t="s">
        <v>153</v>
      </c>
      <c r="L9" s="2" t="s">
        <v>153</v>
      </c>
      <c r="M9" s="2" t="s">
        <v>153</v>
      </c>
      <c r="O9" s="122"/>
    </row>
    <row r="10" spans="2:16" x14ac:dyDescent="0.25">
      <c r="B10" s="2" t="str">
        <f>IF(lookups!$B$29='gas calculations'!$H$3,'gas calculations'!H10,IF(lookups!$B$29='gas calculations'!$I$3,I10,IF(lookups!$B$29='gas calculations'!$J$3,J10,IF(lookups!$B$29='gas calculations'!$K$3,K10,IF(lookups!$B$29='gas calculations'!$L$3,L10,IF(lookups!$B$29='gas calculations'!$M$3,M10,"No"))))))</f>
        <v>No</v>
      </c>
      <c r="C10" s="121" t="s">
        <v>20</v>
      </c>
      <c r="D10" s="2">
        <f>'electric calculations'!D18</f>
        <v>0</v>
      </c>
      <c r="E10" s="2" t="str">
        <f>'electric calculations'!E18</f>
        <v>Tool incomplete</v>
      </c>
      <c r="F10" s="2" t="s">
        <v>83</v>
      </c>
      <c r="G10" s="2" t="s">
        <v>159</v>
      </c>
      <c r="H10" s="2" t="s">
        <v>153</v>
      </c>
      <c r="I10" s="2" t="s">
        <v>153</v>
      </c>
      <c r="J10" s="2" t="s">
        <v>153</v>
      </c>
      <c r="K10" s="2" t="s">
        <v>153</v>
      </c>
      <c r="L10" s="2" t="s">
        <v>153</v>
      </c>
      <c r="M10" s="2" t="s">
        <v>153</v>
      </c>
      <c r="O10" s="122"/>
    </row>
    <row r="11" spans="2:16" x14ac:dyDescent="0.25">
      <c r="B11" s="2" t="str">
        <f>IF(lookups!$B$29='gas calculations'!$H$3,'gas calculations'!H11,IF(lookups!$B$29='gas calculations'!$I$3,I11,IF(lookups!$B$29='gas calculations'!$J$3,J11,IF(lookups!$B$29='gas calculations'!$K$3,K11,IF(lookups!$B$29='gas calculations'!$L$3,L11,IF(lookups!$B$29='gas calculations'!$M$3,M11,"No"))))))</f>
        <v>No</v>
      </c>
      <c r="C11" s="121" t="s">
        <v>22</v>
      </c>
      <c r="D11" s="2">
        <f>'electric calculations'!D20</f>
        <v>0</v>
      </c>
      <c r="E11" s="2" t="str">
        <f>'electric calculations'!E20</f>
        <v>Tool incomplete</v>
      </c>
      <c r="F11" s="119" t="s">
        <v>86</v>
      </c>
      <c r="G11" s="2"/>
      <c r="H11" s="2" t="s">
        <v>153</v>
      </c>
      <c r="I11" s="2" t="s">
        <v>153</v>
      </c>
      <c r="J11" s="2" t="s">
        <v>153</v>
      </c>
      <c r="K11" s="2" t="s">
        <v>153</v>
      </c>
      <c r="L11" s="2" t="s">
        <v>153</v>
      </c>
      <c r="M11" s="2" t="s">
        <v>153</v>
      </c>
    </row>
    <row r="12" spans="2:16" x14ac:dyDescent="0.25">
      <c r="B12" s="2" t="str">
        <f>IF(lookups!$B$29='gas calculations'!$H$3,'gas calculations'!H12,IF(lookups!$B$29='gas calculations'!$I$3,I12,IF(lookups!$B$29='gas calculations'!$J$3,J12,IF(lookups!$B$29='gas calculations'!$K$3,K12,IF(lookups!$B$29='gas calculations'!$L$3,L12,IF(lookups!$B$29='gas calculations'!$M$3,M12,"No"))))))</f>
        <v>No</v>
      </c>
      <c r="C12" s="121" t="s">
        <v>23</v>
      </c>
      <c r="D12" s="2">
        <f>'electric calculations'!D21</f>
        <v>8.33</v>
      </c>
      <c r="E12" s="2">
        <f>'electric calculations'!E21</f>
        <v>8.33</v>
      </c>
      <c r="F12" s="2" t="s">
        <v>88</v>
      </c>
      <c r="G12" s="2" t="s">
        <v>87</v>
      </c>
      <c r="H12" s="2" t="s">
        <v>153</v>
      </c>
      <c r="I12" s="2" t="s">
        <v>153</v>
      </c>
      <c r="J12" s="2" t="s">
        <v>153</v>
      </c>
      <c r="K12" s="2" t="s">
        <v>153</v>
      </c>
      <c r="L12" s="2" t="s">
        <v>153</v>
      </c>
      <c r="M12" s="2" t="s">
        <v>153</v>
      </c>
      <c r="P12">
        <v>100000</v>
      </c>
    </row>
    <row r="13" spans="2:16" x14ac:dyDescent="0.25">
      <c r="B13" s="2" t="str">
        <f>IF(lookups!$B$29='gas calculations'!$H$3,'gas calculations'!H13,IF(lookups!$B$29='gas calculations'!$I$3,I13,IF(lookups!$B$29='gas calculations'!$J$3,J13,IF(lookups!$B$29='gas calculations'!$K$3,K13,IF(lookups!$B$29='gas calculations'!$L$3,L13,IF(lookups!$B$29='gas calculations'!$M$3,M13,"No"))))))</f>
        <v>No</v>
      </c>
      <c r="C13" s="121" t="s">
        <v>24</v>
      </c>
      <c r="D13" s="2">
        <f>'electric calculations'!D22</f>
        <v>125</v>
      </c>
      <c r="E13" s="2">
        <f>'electric calculations'!E22</f>
        <v>125</v>
      </c>
      <c r="F13" s="2" t="s">
        <v>90</v>
      </c>
      <c r="G13" s="2" t="s">
        <v>89</v>
      </c>
      <c r="H13" s="2" t="s">
        <v>153</v>
      </c>
      <c r="I13" s="2" t="s">
        <v>153</v>
      </c>
      <c r="J13" s="2" t="s">
        <v>153</v>
      </c>
      <c r="K13" s="2" t="s">
        <v>153</v>
      </c>
      <c r="L13" s="2" t="s">
        <v>153</v>
      </c>
      <c r="M13" s="2" t="s">
        <v>153</v>
      </c>
    </row>
    <row r="14" spans="2:16" x14ac:dyDescent="0.25">
      <c r="B14" s="2" t="str">
        <f>IF(lookups!$B$29='gas calculations'!$H$3,'gas calculations'!H14,IF(lookups!$B$29='gas calculations'!$I$3,I14,IF(lookups!$B$29='gas calculations'!$J$3,J14,IF(lookups!$B$29='gas calculations'!$K$3,K14,IF(lookups!$B$29='gas calculations'!$L$3,L14,IF(lookups!$B$29='gas calculations'!$M$3,M14,"No"))))))</f>
        <v>No</v>
      </c>
      <c r="C14" s="121" t="s">
        <v>25</v>
      </c>
      <c r="D14" s="2">
        <f>'electric calculations'!D23</f>
        <v>54</v>
      </c>
      <c r="E14" s="2">
        <f>'electric calculations'!E23</f>
        <v>54</v>
      </c>
      <c r="F14" s="2" t="s">
        <v>90</v>
      </c>
      <c r="G14" s="2" t="s">
        <v>91</v>
      </c>
      <c r="H14" s="2" t="s">
        <v>153</v>
      </c>
      <c r="I14" s="2" t="s">
        <v>153</v>
      </c>
      <c r="J14" s="2" t="s">
        <v>153</v>
      </c>
      <c r="K14" s="2" t="s">
        <v>153</v>
      </c>
      <c r="L14" s="2" t="s">
        <v>153</v>
      </c>
      <c r="M14" s="2" t="s">
        <v>153</v>
      </c>
    </row>
    <row r="15" spans="2:16" x14ac:dyDescent="0.25">
      <c r="B15" s="2" t="str">
        <f>IF(lookups!$B$29='gas calculations'!$H$3,'gas calculations'!H15,IF(lookups!$B$29='gas calculations'!$I$3,I15,IF(lookups!$B$29='gas calculations'!$J$3,J15,IF(lookups!$B$29='gas calculations'!$K$3,K15,IF(lookups!$B$29='gas calculations'!$L$3,L15,IF(lookups!$B$29='gas calculations'!$M$3,M15,"No"))))))</f>
        <v>No</v>
      </c>
      <c r="C15" s="2" t="s">
        <v>165</v>
      </c>
      <c r="D15" s="2">
        <f>Inputs!C80</f>
        <v>1</v>
      </c>
      <c r="E15" s="2">
        <v>1</v>
      </c>
      <c r="F15" s="2" t="s">
        <v>169</v>
      </c>
      <c r="G15" s="2" t="s">
        <v>168</v>
      </c>
      <c r="H15" s="2" t="s">
        <v>153</v>
      </c>
      <c r="I15" s="2" t="s">
        <v>153</v>
      </c>
      <c r="J15" s="2" t="s">
        <v>153</v>
      </c>
      <c r="K15" s="2" t="s">
        <v>153</v>
      </c>
      <c r="L15" s="2" t="s">
        <v>153</v>
      </c>
      <c r="M15" s="2" t="s">
        <v>153</v>
      </c>
    </row>
    <row r="16" spans="2:16" ht="15.75" thickBot="1" x14ac:dyDescent="0.3">
      <c r="B16" s="123" t="str">
        <f>IF(lookups!$B$29='gas calculations'!$H$3,'gas calculations'!H16,IF(lookups!$B$29='gas calculations'!$I$3,I16,IF(lookups!$B$29='gas calculations'!$J$3,J16,IF(lookups!$B$29='gas calculations'!$K$3,K16,IF(lookups!$B$29='gas calculations'!$L$3,L16,IF(lookups!$B$29='gas calculations'!$M$3,M16,"No"))))))</f>
        <v>No</v>
      </c>
      <c r="C16" s="123" t="s">
        <v>165</v>
      </c>
      <c r="D16" s="124">
        <f>Inputs!C81</f>
        <v>3412</v>
      </c>
      <c r="E16" s="124">
        <v>3412</v>
      </c>
      <c r="F16" s="123" t="s">
        <v>181</v>
      </c>
      <c r="G16" s="123" t="s">
        <v>170</v>
      </c>
      <c r="H16" s="123" t="s">
        <v>153</v>
      </c>
      <c r="I16" s="123" t="s">
        <v>153</v>
      </c>
      <c r="J16" s="123" t="s">
        <v>153</v>
      </c>
      <c r="K16" s="123" t="s">
        <v>153</v>
      </c>
      <c r="L16" s="123" t="s">
        <v>153</v>
      </c>
      <c r="M16" s="123" t="s">
        <v>153</v>
      </c>
      <c r="N16" s="72" t="s">
        <v>371</v>
      </c>
    </row>
    <row r="17" spans="2:19" x14ac:dyDescent="0.25">
      <c r="B17" s="2" t="str">
        <f>IF(lookups!$B$29='gas calculations'!$H$3,'gas calculations'!H17,IF(lookups!$B$29='gas calculations'!$I$3,I17,IF(lookups!$B$29='gas calculations'!$J$3,J17,IF(lookups!$B$29='gas calculations'!$K$3,K17,IF(lookups!$B$29='gas calculations'!$L$3,L17,IF(lookups!$B$29='gas calculations'!$M$3,M17,"No"))))))</f>
        <v>No</v>
      </c>
      <c r="C17" t="s">
        <v>366</v>
      </c>
      <c r="D17" s="2" t="str">
        <f>Inputs!C75</f>
        <v>Incomplete</v>
      </c>
      <c r="E17" s="2" t="str">
        <f>IFERROR(Inputs!C47*Tables!C7/100000,"Incomplete")</f>
        <v>Incomplete</v>
      </c>
      <c r="F17" s="125" t="s">
        <v>373</v>
      </c>
      <c r="G17" s="125" t="s">
        <v>372</v>
      </c>
      <c r="H17" s="125" t="s">
        <v>161</v>
      </c>
      <c r="I17" s="125" t="s">
        <v>161</v>
      </c>
      <c r="J17" s="125" t="s">
        <v>161</v>
      </c>
      <c r="K17" s="125" t="s">
        <v>153</v>
      </c>
      <c r="L17" s="125" t="s">
        <v>153</v>
      </c>
      <c r="M17" s="125" t="s">
        <v>153</v>
      </c>
    </row>
    <row r="18" spans="2:19" x14ac:dyDescent="0.25">
      <c r="B18" s="2" t="str">
        <f>IF(lookups!$B$29='gas calculations'!$H$3,'gas calculations'!H18,IF(lookups!$B$29='gas calculations'!$I$3,I18,IF(lookups!$B$29='gas calculations'!$J$3,J18,IF(lookups!$B$29='gas calculations'!$K$3,K18,IF(lookups!$B$29='gas calculations'!$L$3,L18,IF(lookups!$B$29='gas calculations'!$M$3,M18,"No"))))))</f>
        <v>No</v>
      </c>
      <c r="C18" t="s">
        <v>375</v>
      </c>
      <c r="D18" s="129" t="str">
        <f>Inputs!C76</f>
        <v>Incomplete</v>
      </c>
      <c r="E18" s="129" t="str">
        <f>IFERROR(lookups!C189,"Incomplete")</f>
        <v>Incomplete</v>
      </c>
      <c r="F18" s="125" t="s">
        <v>376</v>
      </c>
      <c r="G18" s="125" t="s">
        <v>428</v>
      </c>
      <c r="H18" s="125" t="s">
        <v>161</v>
      </c>
      <c r="I18" s="125" t="s">
        <v>161</v>
      </c>
      <c r="J18" s="125" t="s">
        <v>161</v>
      </c>
      <c r="K18" s="125" t="s">
        <v>153</v>
      </c>
      <c r="L18" s="125" t="s">
        <v>153</v>
      </c>
      <c r="M18" s="125" t="s">
        <v>153</v>
      </c>
      <c r="S18" s="94"/>
    </row>
    <row r="19" spans="2:19" x14ac:dyDescent="0.25">
      <c r="B19" s="2" t="str">
        <f>IF(lookups!$B$29='gas calculations'!$H$3,'gas calculations'!H19,IF(lookups!$B$29='gas calculations'!$I$3,I19,IF(lookups!$B$29='gas calculations'!$J$3,J19,IF(lookups!$B$29='gas calculations'!$K$3,K19,IF(lookups!$B$29='gas calculations'!$L$3,L19,IF(lookups!$B$29='gas calculations'!$M$3,M19,"No"))))))</f>
        <v>No</v>
      </c>
      <c r="C19" t="s">
        <v>367</v>
      </c>
      <c r="D19" s="2" t="str">
        <f>Inputs!C67</f>
        <v>Incomplete</v>
      </c>
      <c r="E19" s="138" t="str">
        <f>IFERROR(lookups!C158,"Incomplete")</f>
        <v>Incomplete</v>
      </c>
      <c r="F19" s="125" t="s">
        <v>423</v>
      </c>
      <c r="G19" s="125" t="s">
        <v>374</v>
      </c>
      <c r="H19" s="125" t="s">
        <v>161</v>
      </c>
      <c r="I19" s="125" t="s">
        <v>161</v>
      </c>
      <c r="J19" s="125" t="s">
        <v>161</v>
      </c>
      <c r="K19" s="125" t="s">
        <v>153</v>
      </c>
      <c r="L19" s="125" t="s">
        <v>153</v>
      </c>
      <c r="M19" s="125" t="s">
        <v>153</v>
      </c>
      <c r="O19" t="s">
        <v>397</v>
      </c>
    </row>
    <row r="20" spans="2:19" x14ac:dyDescent="0.25">
      <c r="B20" s="2" t="str">
        <f>IF(lookups!$B$29='gas calculations'!$H$3,'gas calculations'!H20,IF(lookups!$B$29='gas calculations'!$I$3,I20,IF(lookups!$B$29='gas calculations'!$J$3,J20,IF(lookups!$B$29='gas calculations'!$K$3,K20,IF(lookups!$B$29='gas calculations'!$L$3,L20,IF(lookups!$B$29='gas calculations'!$M$3,M20,"No"))))))</f>
        <v>No</v>
      </c>
      <c r="C20" t="s">
        <v>368</v>
      </c>
      <c r="D20" s="130" t="str">
        <f>Inputs!C68</f>
        <v>Incomplete</v>
      </c>
      <c r="E20" s="2" t="str">
        <f>IFERROR(E18/100000,"Incomplete")</f>
        <v>Incomplete</v>
      </c>
      <c r="F20" s="2" t="s">
        <v>395</v>
      </c>
      <c r="G20" s="125" t="s">
        <v>396</v>
      </c>
      <c r="H20" s="125" t="s">
        <v>161</v>
      </c>
      <c r="I20" s="125" t="s">
        <v>161</v>
      </c>
      <c r="J20" s="125" t="s">
        <v>161</v>
      </c>
      <c r="K20" s="125" t="s">
        <v>153</v>
      </c>
      <c r="L20" s="125" t="s">
        <v>153</v>
      </c>
      <c r="M20" s="125" t="s">
        <v>153</v>
      </c>
    </row>
    <row r="21" spans="2:19" x14ac:dyDescent="0.25">
      <c r="B21" s="2" t="str">
        <f>IF(lookups!$B$29='gas calculations'!$H$3,'gas calculations'!H21,IF(lookups!$B$29='gas calculations'!$I$3,I21,IF(lookups!$B$29='gas calculations'!$J$3,J21,IF(lookups!$B$29='gas calculations'!$K$3,K21,IF(lookups!$B$29='gas calculations'!$L$3,L21,IF(lookups!$B$29='gas calculations'!$M$3,M21,"No"))))))</f>
        <v>No</v>
      </c>
      <c r="C21" t="s">
        <v>369</v>
      </c>
      <c r="D21" s="2"/>
      <c r="E21" s="2"/>
      <c r="F21" s="2"/>
      <c r="G21" s="125" t="s">
        <v>429</v>
      </c>
      <c r="H21" s="125"/>
      <c r="I21" s="125"/>
      <c r="J21" s="125"/>
      <c r="K21" s="2"/>
      <c r="L21" s="2"/>
      <c r="M21" s="2"/>
    </row>
    <row r="22" spans="2:19" x14ac:dyDescent="0.25">
      <c r="B22" s="2" t="str">
        <f>IF(lookups!$B$29='gas calculations'!$H$3,'gas calculations'!H22,IF(lookups!$B$29='gas calculations'!$I$3,I22,IF(lookups!$B$29='gas calculations'!$J$3,J22,IF(lookups!$B$29='gas calculations'!$K$3,K22,IF(lookups!$B$29='gas calculations'!$L$3,L22,IF(lookups!$B$29='gas calculations'!$M$3,M22,"No"))))))</f>
        <v>No</v>
      </c>
      <c r="C22" t="s">
        <v>370</v>
      </c>
      <c r="D22" s="138">
        <f>Inputs!E38</f>
        <v>0</v>
      </c>
      <c r="E22" s="2" t="s">
        <v>314</v>
      </c>
      <c r="F22" s="2" t="s">
        <v>423</v>
      </c>
      <c r="G22" s="2" t="s">
        <v>427</v>
      </c>
      <c r="H22" s="125" t="s">
        <v>161</v>
      </c>
      <c r="I22" s="125" t="s">
        <v>161</v>
      </c>
      <c r="J22" s="125" t="s">
        <v>161</v>
      </c>
      <c r="K22" s="125" t="s">
        <v>153</v>
      </c>
      <c r="L22" s="2" t="s">
        <v>161</v>
      </c>
      <c r="M22" s="2" t="s">
        <v>161</v>
      </c>
    </row>
    <row r="23" spans="2:19" x14ac:dyDescent="0.25">
      <c r="B23" s="2"/>
      <c r="D23" s="2"/>
      <c r="E23" s="2"/>
      <c r="F23" s="2"/>
      <c r="G23" s="2"/>
      <c r="H23" s="125"/>
      <c r="I23" s="125"/>
      <c r="J23" s="125"/>
      <c r="K23" s="2"/>
      <c r="L23" s="2"/>
      <c r="M23" s="2"/>
    </row>
    <row r="26" spans="2:19" x14ac:dyDescent="0.25">
      <c r="B26" s="2"/>
      <c r="C26" s="2"/>
      <c r="D26" s="2"/>
      <c r="E26" s="119" t="s">
        <v>211</v>
      </c>
      <c r="F26" s="2"/>
      <c r="G26" s="2"/>
      <c r="H26" s="2"/>
      <c r="I26" s="2"/>
      <c r="J26" s="2"/>
      <c r="K26" s="2"/>
      <c r="L26" s="2"/>
      <c r="M26" s="2"/>
    </row>
    <row r="27" spans="2:19" x14ac:dyDescent="0.25">
      <c r="B27" s="2" t="s">
        <v>2</v>
      </c>
      <c r="C27" s="2"/>
      <c r="D27" s="2"/>
      <c r="E27" s="2"/>
      <c r="F27" s="2"/>
      <c r="G27" s="120" t="s">
        <v>184</v>
      </c>
      <c r="H27" s="2"/>
      <c r="I27" s="2"/>
      <c r="J27" s="2"/>
      <c r="K27" s="2"/>
      <c r="L27" s="2"/>
      <c r="M27" s="2"/>
    </row>
    <row r="28" spans="2:19" x14ac:dyDescent="0.25">
      <c r="B28" s="2" t="s">
        <v>1</v>
      </c>
      <c r="C28" s="2"/>
      <c r="D28" s="2"/>
      <c r="E28" s="2"/>
      <c r="F28" s="2"/>
      <c r="G28" s="2"/>
      <c r="H28" s="2"/>
      <c r="I28" s="2"/>
      <c r="J28" s="2"/>
      <c r="K28" s="2"/>
      <c r="L28" s="2"/>
      <c r="M28" s="2"/>
    </row>
    <row r="30" spans="2:19" x14ac:dyDescent="0.25">
      <c r="B30" s="334" t="s">
        <v>61</v>
      </c>
      <c r="C30" s="335"/>
      <c r="D30" s="335"/>
      <c r="E30" s="335"/>
      <c r="F30" s="336"/>
      <c r="H30" t="s">
        <v>365</v>
      </c>
    </row>
    <row r="31" spans="2:19" x14ac:dyDescent="0.25">
      <c r="B31" s="337" t="str">
        <f>lookups!B20</f>
        <v>New construction, non-fuel switch</v>
      </c>
      <c r="C31" s="338"/>
      <c r="D31" s="338"/>
      <c r="E31" s="338"/>
      <c r="F31" s="339"/>
    </row>
    <row r="32" spans="2:19" x14ac:dyDescent="0.25">
      <c r="B32" s="337" t="str">
        <f>lookups!B21</f>
        <v>Time of Sale, non-fuel switch</v>
      </c>
      <c r="C32" s="338"/>
      <c r="D32" s="338"/>
      <c r="E32" s="338"/>
      <c r="F32" s="339"/>
    </row>
    <row r="33" spans="2:9" x14ac:dyDescent="0.25">
      <c r="B33" s="110" t="str">
        <f>lookups!B22</f>
        <v>Early Replacement, non-fuel switch</v>
      </c>
      <c r="C33" s="111"/>
      <c r="D33" s="111"/>
      <c r="E33" s="111"/>
      <c r="F33" s="112"/>
    </row>
    <row r="35" spans="2:9" x14ac:dyDescent="0.25">
      <c r="B35" t="s">
        <v>357</v>
      </c>
    </row>
    <row r="37" spans="2:9" x14ac:dyDescent="0.25">
      <c r="B37" s="88">
        <v>0</v>
      </c>
      <c r="C37" s="8" t="s">
        <v>8</v>
      </c>
      <c r="D37" s="8" t="s">
        <v>219</v>
      </c>
      <c r="I37" s="99"/>
    </row>
    <row r="38" spans="2:9" x14ac:dyDescent="0.25">
      <c r="B38" s="88">
        <v>0</v>
      </c>
      <c r="C38" s="8" t="s">
        <v>9</v>
      </c>
      <c r="D38" s="8" t="s">
        <v>219</v>
      </c>
    </row>
    <row r="39" spans="2:9" x14ac:dyDescent="0.25">
      <c r="B39" s="88">
        <f>B37+B38</f>
        <v>0</v>
      </c>
      <c r="C39" s="8" t="s">
        <v>364</v>
      </c>
      <c r="D39" s="8" t="s">
        <v>219</v>
      </c>
    </row>
    <row r="40" spans="2:9" x14ac:dyDescent="0.25">
      <c r="B40" s="8"/>
      <c r="C40" s="8"/>
      <c r="D40" s="8"/>
    </row>
    <row r="41" spans="2:9" x14ac:dyDescent="0.25">
      <c r="B41" s="8" t="s">
        <v>297</v>
      </c>
      <c r="C41" s="8" t="s">
        <v>297</v>
      </c>
      <c r="D41" s="8" t="s">
        <v>297</v>
      </c>
    </row>
    <row r="42" spans="2:9" x14ac:dyDescent="0.25">
      <c r="B42" s="8" t="s">
        <v>297</v>
      </c>
      <c r="C42" s="8" t="s">
        <v>297</v>
      </c>
      <c r="D42" s="8" t="s">
        <v>297</v>
      </c>
    </row>
    <row r="43" spans="2:9" x14ac:dyDescent="0.25">
      <c r="B43" s="8" t="s">
        <v>297</v>
      </c>
      <c r="C43" s="8" t="s">
        <v>297</v>
      </c>
      <c r="D43" s="8" t="s">
        <v>297</v>
      </c>
    </row>
    <row r="47" spans="2:9" x14ac:dyDescent="0.25">
      <c r="B47" s="334" t="s">
        <v>61</v>
      </c>
      <c r="C47" s="335"/>
      <c r="D47" s="335"/>
      <c r="E47" s="335"/>
      <c r="F47" s="336"/>
    </row>
    <row r="48" spans="2:9" x14ac:dyDescent="0.25">
      <c r="B48" s="337" t="str">
        <f>lookups!B24</f>
        <v>New construction, fuel switch</v>
      </c>
      <c r="C48" s="338"/>
      <c r="D48" s="338"/>
      <c r="E48" s="338"/>
      <c r="F48" s="339"/>
    </row>
    <row r="49" spans="2:7" x14ac:dyDescent="0.25">
      <c r="B49" s="325" t="str">
        <f>lookups!B25</f>
        <v>Time of Sale, fuel switch</v>
      </c>
      <c r="C49" s="326"/>
      <c r="D49" s="326"/>
      <c r="E49" s="326"/>
      <c r="F49" s="327"/>
    </row>
    <row r="51" spans="2:7" x14ac:dyDescent="0.25">
      <c r="B51" t="s">
        <v>353</v>
      </c>
    </row>
    <row r="52" spans="2:7" x14ac:dyDescent="0.25">
      <c r="B52" t="s">
        <v>354</v>
      </c>
    </row>
    <row r="53" spans="2:7" x14ac:dyDescent="0.25">
      <c r="C53" s="99" t="s">
        <v>355</v>
      </c>
    </row>
    <row r="54" spans="2:7" x14ac:dyDescent="0.25">
      <c r="B54" t="s">
        <v>356</v>
      </c>
    </row>
    <row r="57" spans="2:7" x14ac:dyDescent="0.25">
      <c r="G57" t="s">
        <v>414</v>
      </c>
    </row>
    <row r="58" spans="2:7" x14ac:dyDescent="0.25">
      <c r="B58" s="88">
        <f>IFERROR((1-D4)*((D17/D19)-(D20*D6*D5*1/D7)/1000),0)</f>
        <v>0</v>
      </c>
      <c r="C58" s="8" t="s">
        <v>312</v>
      </c>
      <c r="D58" s="8" t="s">
        <v>219</v>
      </c>
    </row>
    <row r="59" spans="2:7" x14ac:dyDescent="0.25">
      <c r="B59" s="88">
        <v>0</v>
      </c>
      <c r="C59" s="8" t="s">
        <v>9</v>
      </c>
      <c r="D59" s="8" t="s">
        <v>219</v>
      </c>
    </row>
    <row r="60" spans="2:7" x14ac:dyDescent="0.25">
      <c r="B60" s="88">
        <f>B58+B59</f>
        <v>0</v>
      </c>
      <c r="C60" s="8" t="s">
        <v>364</v>
      </c>
      <c r="D60" s="8" t="s">
        <v>219</v>
      </c>
    </row>
    <row r="61" spans="2:7" x14ac:dyDescent="0.25">
      <c r="B61" s="8"/>
      <c r="C61" s="8"/>
      <c r="D61" s="8"/>
    </row>
    <row r="62" spans="2:7" x14ac:dyDescent="0.25">
      <c r="B62" s="8" t="s">
        <v>297</v>
      </c>
      <c r="C62" s="8" t="s">
        <v>297</v>
      </c>
      <c r="D62" s="8" t="s">
        <v>297</v>
      </c>
    </row>
    <row r="63" spans="2:7" x14ac:dyDescent="0.25">
      <c r="B63" s="8" t="s">
        <v>297</v>
      </c>
      <c r="C63" s="8" t="s">
        <v>297</v>
      </c>
      <c r="D63" s="8" t="s">
        <v>297</v>
      </c>
    </row>
    <row r="64" spans="2:7" x14ac:dyDescent="0.25">
      <c r="B64" s="8" t="s">
        <v>297</v>
      </c>
      <c r="C64" s="8" t="s">
        <v>297</v>
      </c>
      <c r="D64" s="8" t="s">
        <v>297</v>
      </c>
    </row>
    <row r="67" spans="2:6" x14ac:dyDescent="0.25">
      <c r="B67" s="334" t="s">
        <v>61</v>
      </c>
      <c r="C67" s="335"/>
      <c r="D67" s="335"/>
      <c r="E67" s="335"/>
      <c r="F67" s="336"/>
    </row>
    <row r="68" spans="2:6" x14ac:dyDescent="0.25">
      <c r="B68" s="325" t="str">
        <f>lookups!B23</f>
        <v>Early Replacement, fuel switch</v>
      </c>
      <c r="C68" s="326"/>
      <c r="D68" s="326"/>
      <c r="E68" s="326"/>
      <c r="F68" s="327"/>
    </row>
    <row r="71" spans="2:6" x14ac:dyDescent="0.25">
      <c r="B71" t="s">
        <v>358</v>
      </c>
    </row>
    <row r="72" spans="2:6" x14ac:dyDescent="0.25">
      <c r="B72" t="s">
        <v>359</v>
      </c>
    </row>
    <row r="73" spans="2:6" x14ac:dyDescent="0.25">
      <c r="B73" t="s">
        <v>360</v>
      </c>
    </row>
    <row r="74" spans="2:6" x14ac:dyDescent="0.25">
      <c r="B74" t="s">
        <v>361</v>
      </c>
    </row>
    <row r="75" spans="2:6" x14ac:dyDescent="0.25">
      <c r="B75" t="s">
        <v>356</v>
      </c>
    </row>
    <row r="76" spans="2:6" x14ac:dyDescent="0.25">
      <c r="B76" t="s">
        <v>362</v>
      </c>
    </row>
    <row r="77" spans="2:6" x14ac:dyDescent="0.25">
      <c r="B77" t="s">
        <v>359</v>
      </c>
    </row>
    <row r="78" spans="2:6" x14ac:dyDescent="0.25">
      <c r="B78" t="s">
        <v>354</v>
      </c>
    </row>
    <row r="79" spans="2:6" x14ac:dyDescent="0.25">
      <c r="B79" t="s">
        <v>363</v>
      </c>
    </row>
    <row r="80" spans="2:6" x14ac:dyDescent="0.25">
      <c r="B80" t="s">
        <v>356</v>
      </c>
    </row>
    <row r="82" spans="2:4" x14ac:dyDescent="0.25">
      <c r="B82" s="8">
        <f>IFERROR((1-D4)*((D17/D22)-(D20*D6*D5*1/D7)/1000),0)</f>
        <v>0</v>
      </c>
      <c r="C82" s="8" t="s">
        <v>431</v>
      </c>
      <c r="D82" s="8" t="s">
        <v>217</v>
      </c>
    </row>
    <row r="83" spans="2:4" x14ac:dyDescent="0.25">
      <c r="B83" s="8"/>
      <c r="C83" s="24" t="s">
        <v>9</v>
      </c>
      <c r="D83" s="8" t="s">
        <v>217</v>
      </c>
    </row>
    <row r="84" spans="2:4" x14ac:dyDescent="0.25">
      <c r="B84" s="8">
        <f>B82+B83</f>
        <v>0</v>
      </c>
      <c r="C84" s="8" t="s">
        <v>364</v>
      </c>
      <c r="D84" s="8" t="s">
        <v>217</v>
      </c>
    </row>
    <row r="85" spans="2:4" x14ac:dyDescent="0.25">
      <c r="B85" s="8"/>
      <c r="C85" s="8"/>
      <c r="D85" s="8"/>
    </row>
    <row r="86" spans="2:4" x14ac:dyDescent="0.25">
      <c r="B86" s="8">
        <f>IFERROR((1-D4)*((D17/D19)-(D20*D6*D5*1/D7)/1000),0)</f>
        <v>0</v>
      </c>
      <c r="C86" s="8" t="s">
        <v>312</v>
      </c>
      <c r="D86" s="8" t="s">
        <v>218</v>
      </c>
    </row>
    <row r="87" spans="2:4" x14ac:dyDescent="0.25">
      <c r="B87" s="8"/>
      <c r="C87" s="8" t="s">
        <v>9</v>
      </c>
      <c r="D87" s="8" t="s">
        <v>218</v>
      </c>
    </row>
    <row r="88" spans="2:4" x14ac:dyDescent="0.25">
      <c r="B88" s="8">
        <f>B86+B87</f>
        <v>0</v>
      </c>
      <c r="C88" s="8" t="s">
        <v>364</v>
      </c>
      <c r="D88" s="8" t="s">
        <v>218</v>
      </c>
    </row>
    <row r="92" spans="2:4" x14ac:dyDescent="0.25">
      <c r="B92" s="24" t="s">
        <v>296</v>
      </c>
      <c r="C92" s="24"/>
      <c r="D92" s="24"/>
    </row>
    <row r="93" spans="2:4" x14ac:dyDescent="0.25">
      <c r="B93" s="24" t="str">
        <f>IF(OR(lookups!$B$29=$B$31,lookups!$B$29=$B$32,lookups!$B$29=$B$33),B37,IF(OR(lookups!$B$29=$B$48,lookups!$B$29=$B$49),B58,IF(lookups!$B$29=$B$68,B82,"Incomplete")))</f>
        <v>Incomplete</v>
      </c>
      <c r="C93" s="24" t="str">
        <f>IF(OR(lookups!$B$29=$B$31,lookups!$B$29=$B$32,lookups!$B$29=$B$33),C37,IF(OR(lookups!$B$29=$B$48,lookups!$B$29=$B$49),C58,IF(lookups!$B$29=$B$68,C82,"Incomplete")))</f>
        <v>Incomplete</v>
      </c>
      <c r="D93" s="24" t="str">
        <f>IF(OR(lookups!$B$29=$B$31,lookups!$B$29=$B$32,lookups!$B$29=$B$33),D37,IF(OR(lookups!$B$29=$B$48,lookups!$B$29=$B$49),D58,IF(lookups!$B$29=$B$68,D82,"Incomplete")))</f>
        <v>Incomplete</v>
      </c>
    </row>
    <row r="94" spans="2:4" x14ac:dyDescent="0.25">
      <c r="B94" s="24" t="str">
        <f>IF(OR(lookups!$B$29=$B$31,lookups!$B$29=$B$32,lookups!$B$29=$B$33),B38,IF(OR(lookups!$B$29=$B$48,lookups!$B$29=$B$49),B59,IF(lookups!$B$29=$B$68,B83,"Incomplete")))</f>
        <v>Incomplete</v>
      </c>
      <c r="C94" s="24" t="str">
        <f>IF(OR(lookups!$B$29=$B$31,lookups!$B$29=$B$32,lookups!$B$29=$B$33),C38,IF(OR(lookups!$B$29=$B$48,lookups!$B$29=$B$49),C59,IF(lookups!$B$29=$B$68,C83,"Incomplete")))</f>
        <v>Incomplete</v>
      </c>
      <c r="D94" s="24" t="str">
        <f>IF(OR(lookups!$B$29=$B$31,lookups!$B$29=$B$32,lookups!$B$29=$B$33),D38,IF(OR(lookups!$B$29=$B$48,lookups!$B$29=$B$49),D59,IF(lookups!$B$29=$B$68,D83,"Incomplete")))</f>
        <v>Incomplete</v>
      </c>
    </row>
    <row r="95" spans="2:4" x14ac:dyDescent="0.25">
      <c r="B95" s="24" t="str">
        <f>IF(OR(lookups!$B$29=$B$31,lookups!$B$29=$B$32,lookups!$B$29=$B$33),B39,IF(OR(lookups!$B$29=$B$48,lookups!$B$29=$B$49),B60,IF(lookups!$B$29=$B$68,B84,"Incomplete")))</f>
        <v>Incomplete</v>
      </c>
      <c r="C95" s="24" t="str">
        <f>IF(OR(lookups!$B$29=$B$31,lookups!$B$29=$B$32,lookups!$B$29=$B$33),C39,IF(OR(lookups!$B$29=$B$48,lookups!$B$29=$B$49),C60,IF(lookups!$B$29=$B$68,C84,"Incomplete")))</f>
        <v>Incomplete</v>
      </c>
      <c r="D95" s="24" t="str">
        <f>IF(OR(lookups!$B$29=$B$31,lookups!$B$29=$B$32,lookups!$B$29=$B$33),D39,IF(OR(lookups!$B$29=$B$48,lookups!$B$29=$B$49),D60,IF(lookups!$B$29=$B$68,D84,"Incomplete")))</f>
        <v>Incomplete</v>
      </c>
    </row>
    <row r="96" spans="2:4" x14ac:dyDescent="0.25">
      <c r="B96" s="24"/>
      <c r="C96" s="24"/>
      <c r="D96" s="24"/>
    </row>
    <row r="97" spans="2:4" x14ac:dyDescent="0.25">
      <c r="B97" s="24" t="str">
        <f>IF(OR(lookups!$B$29=$B$31,lookups!$B$29=$B$32,lookups!$B$29=$B$33),B41,IF(OR(lookups!$B$29=$B$48,lookups!$B$29=$B$49),B62,IF(lookups!$B$29=$B$68,B86,"Incomplete")))</f>
        <v>Incomplete</v>
      </c>
      <c r="C97" s="24" t="str">
        <f>IF(OR(lookups!$B$29=$B$31,lookups!$B$29=$B$32,lookups!$B$29=$B$33),C41,IF(OR(lookups!$B$29=$B$48,lookups!$B$29=$B$49),C62,IF(lookups!$B$29=$B$68,C86,"Incomplete")))</f>
        <v>Incomplete</v>
      </c>
      <c r="D97" s="24" t="str">
        <f>IF(OR(lookups!$B$29=$B$31,lookups!$B$29=$B$32,lookups!$B$29=$B$33),D41,IF(OR(lookups!$B$29=$B$48,lookups!$B$29=$B$49),D62,IF(lookups!$B$29=$B$68,D86,"Incomplete")))</f>
        <v>Incomplete</v>
      </c>
    </row>
    <row r="98" spans="2:4" x14ac:dyDescent="0.25">
      <c r="B98" s="24" t="str">
        <f>IF(OR(lookups!$B$29=$B$31,lookups!$B$29=$B$32,lookups!$B$29=$B$33),B42,IF(OR(lookups!$B$29=$B$48,lookups!$B$29=$B$49),B63,IF(lookups!$B$29=$B$68,B87,"Incomplete")))</f>
        <v>Incomplete</v>
      </c>
      <c r="C98" s="24" t="str">
        <f>IF(OR(lookups!$B$29=$B$31,lookups!$B$29=$B$32,lookups!$B$29=$B$33),C42,IF(OR(lookups!$B$29=$B$48,lookups!$B$29=$B$49),C63,IF(lookups!$B$29=$B$68,C87,"Incomplete")))</f>
        <v>Incomplete</v>
      </c>
      <c r="D98" s="24" t="str">
        <f>IF(OR(lookups!$B$29=$B$31,lookups!$B$29=$B$32,lookups!$B$29=$B$33),D42,IF(OR(lookups!$B$29=$B$48,lookups!$B$29=$B$49),D63,IF(lookups!$B$29=$B$68,D87,"Incomplete")))</f>
        <v>Incomplete</v>
      </c>
    </row>
    <row r="99" spans="2:4" x14ac:dyDescent="0.25">
      <c r="B99" s="24" t="str">
        <f>IF(OR(lookups!$B$29=$B$31,lookups!$B$29=$B$32,lookups!$B$29=$B$33),B43,IF(OR(lookups!$B$29=$B$48,lookups!$B$29=$B$49),B64,IF(lookups!$B$29=$B$68,B88,"Incomplete")))</f>
        <v>Incomplete</v>
      </c>
      <c r="C99" s="24" t="str">
        <f>IF(OR(lookups!$B$29=$B$31,lookups!$B$29=$B$32,lookups!$B$29=$B$33),C43,IF(OR(lookups!$B$29=$B$48,lookups!$B$29=$B$49),C64,IF(lookups!$B$29=$B$68,C88,"Incomplete")))</f>
        <v>Incomplete</v>
      </c>
      <c r="D99" s="24" t="str">
        <f>IF(OR(lookups!$B$29=$B$31,lookups!$B$29=$B$32,lookups!$B$29=$B$33),D43,IF(OR(lookups!$B$29=$B$48,lookups!$B$29=$B$49),D64,IF(lookups!$B$29=$B$68,D88,"Incomplete")))</f>
        <v>Incomplete</v>
      </c>
    </row>
  </sheetData>
  <sheetProtection algorithmName="SHA-512" hashValue="91aSClzNd3K+tgAXunF0aeYPgnudIyiHCa9l2YjFqeepU19qKKaD2vw7KA625vm26Nru2R2D4N8H4w8YMKmUYg==" saltValue="N1SdXRr2N7MZ94NgxrIiWQ==" spinCount="100000" sheet="1" objects="1" scenarios="1" selectLockedCells="1" selectUnlockedCells="1"/>
  <mergeCells count="9">
    <mergeCell ref="B67:F67"/>
    <mergeCell ref="B68:F68"/>
    <mergeCell ref="H2:M2"/>
    <mergeCell ref="B30:F30"/>
    <mergeCell ref="B31:F31"/>
    <mergeCell ref="B32:F32"/>
    <mergeCell ref="B47:F47"/>
    <mergeCell ref="B48:F48"/>
    <mergeCell ref="B49:F4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E3D6-07F9-4F22-B90B-9B0EC925686F}">
  <dimension ref="A1"/>
  <sheetViews>
    <sheetView workbookViewId="0">
      <selection activeCell="K27" sqref="K27"/>
    </sheetView>
  </sheetViews>
  <sheetFormatPr defaultRowHeight="15" x14ac:dyDescent="0.25"/>
  <sheetData/>
  <sheetProtection algorithmName="SHA-512" hashValue="XhhParGKDmsKetq65ImfYkUz/Ve7zzPjTkdScOD7ShpyiCQBwsZuSSvatcXPMp8ZJSKo27xIUTh+H2K0L33lVg==" saltValue="/J1ouAstQnmZPFDlllb+tQ==" spinCount="100000" sheet="1" objects="1" scenarios="1"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2A6D9-8C46-499E-9EDF-DCA0423F7AA1}">
  <dimension ref="B1:R332"/>
  <sheetViews>
    <sheetView workbookViewId="0">
      <selection activeCell="O298" sqref="O298"/>
    </sheetView>
  </sheetViews>
  <sheetFormatPr defaultRowHeight="15" x14ac:dyDescent="0.25"/>
  <cols>
    <col min="2" max="2" width="24.7109375" customWidth="1"/>
    <col min="8" max="8" width="24.85546875" bestFit="1" customWidth="1"/>
    <col min="9" max="9" width="21.140625" customWidth="1"/>
    <col min="15" max="15" width="5.5703125" bestFit="1" customWidth="1"/>
    <col min="16" max="16" width="4.85546875" bestFit="1" customWidth="1"/>
    <col min="17" max="17" width="5.85546875" bestFit="1" customWidth="1"/>
    <col min="18" max="18" width="4.85546875" bestFit="1" customWidth="1"/>
  </cols>
  <sheetData>
    <row r="1" spans="2:17" ht="15.75" thickBot="1" x14ac:dyDescent="0.3"/>
    <row r="2" spans="2:17" x14ac:dyDescent="0.25">
      <c r="B2" s="46" t="s">
        <v>26</v>
      </c>
      <c r="C2" s="47" t="str">
        <f>Inputs!C13</f>
        <v>-Choose One-</v>
      </c>
    </row>
    <row r="3" spans="2:17" x14ac:dyDescent="0.25">
      <c r="B3" s="48" t="s">
        <v>1</v>
      </c>
      <c r="C3" s="49" t="str">
        <f>Inputs!C24</f>
        <v>-Climate Zone-</v>
      </c>
    </row>
    <row r="4" spans="2:17" x14ac:dyDescent="0.25">
      <c r="B4" s="48" t="s">
        <v>2</v>
      </c>
      <c r="C4" s="49" t="str">
        <f>Inputs!C23</f>
        <v>-Choose One-</v>
      </c>
    </row>
    <row r="5" spans="2:17" x14ac:dyDescent="0.25">
      <c r="B5" s="48" t="s">
        <v>176</v>
      </c>
      <c r="C5" s="49" t="str">
        <f>IF(OR(C2=lookups!B6,C2=lookups!B7),"Existing",IF(C2=lookups!B8,"New","Incomplete"))</f>
        <v>Incomplete</v>
      </c>
    </row>
    <row r="6" spans="2:17" x14ac:dyDescent="0.25">
      <c r="B6" s="48" t="s">
        <v>177</v>
      </c>
      <c r="C6" s="49" t="str">
        <f>VLOOKUP(C3,lookups!B47:C52,2,FALSE)</f>
        <v>Incomplete</v>
      </c>
    </row>
    <row r="7" spans="2:17" x14ac:dyDescent="0.25">
      <c r="B7" s="48" t="s">
        <v>179</v>
      </c>
      <c r="C7" s="49" t="str">
        <f>IFERROR(IF(C5="Existing",VLOOKUP(C4,B14:L51,1+C6,FALSE),IF(C5="New",VLOOKUP(C4,B56:L85,1+C6,FALSE),"Incomplete")),"Incomplete")</f>
        <v>Incomplete</v>
      </c>
    </row>
    <row r="8" spans="2:17" ht="15.75" thickBot="1" x14ac:dyDescent="0.3">
      <c r="B8" s="50" t="s">
        <v>180</v>
      </c>
      <c r="C8" s="51" t="str">
        <f>IFERROR(IF(C5="Existing",VLOOKUP(C4,B14:L51,6+C6,FALSE),IF(C5="New",VLOOKUP(C4,B56:L85,6+C6,FALSE),"Incomplete")),"Incomplete")</f>
        <v>Incomplete</v>
      </c>
    </row>
    <row r="10" spans="2:17" x14ac:dyDescent="0.25">
      <c r="B10" t="s">
        <v>140</v>
      </c>
    </row>
    <row r="11" spans="2:17" ht="15.75" thickBot="1" x14ac:dyDescent="0.3"/>
    <row r="12" spans="2:17" ht="15.75" thickBot="1" x14ac:dyDescent="0.3">
      <c r="B12" s="343" t="s">
        <v>2</v>
      </c>
      <c r="C12" s="345" t="s">
        <v>92</v>
      </c>
      <c r="D12" s="346"/>
      <c r="E12" s="346"/>
      <c r="F12" s="346"/>
      <c r="G12" s="347"/>
      <c r="H12" s="345" t="s">
        <v>141</v>
      </c>
      <c r="I12" s="346"/>
      <c r="J12" s="346"/>
      <c r="K12" s="346"/>
      <c r="L12" s="347"/>
    </row>
    <row r="13" spans="2:17" ht="39" thickBot="1" x14ac:dyDescent="0.3">
      <c r="B13" s="344"/>
      <c r="C13" s="17" t="s">
        <v>93</v>
      </c>
      <c r="D13" s="17" t="s">
        <v>94</v>
      </c>
      <c r="E13" s="17" t="s">
        <v>95</v>
      </c>
      <c r="F13" s="17" t="s">
        <v>96</v>
      </c>
      <c r="G13" s="17" t="s">
        <v>97</v>
      </c>
      <c r="H13" s="17" t="s">
        <v>93</v>
      </c>
      <c r="I13" s="17" t="s">
        <v>94</v>
      </c>
      <c r="J13" s="17" t="s">
        <v>95</v>
      </c>
      <c r="K13" s="17" t="s">
        <v>96</v>
      </c>
      <c r="L13" s="17" t="s">
        <v>97</v>
      </c>
    </row>
    <row r="14" spans="2:17" ht="15.75" thickBot="1" x14ac:dyDescent="0.3">
      <c r="B14" s="23" t="s">
        <v>46</v>
      </c>
      <c r="C14" s="19" t="s">
        <v>182</v>
      </c>
      <c r="D14" s="19" t="s">
        <v>182</v>
      </c>
      <c r="E14" s="19" t="s">
        <v>182</v>
      </c>
      <c r="F14" s="19" t="s">
        <v>182</v>
      </c>
      <c r="G14" s="19" t="s">
        <v>182</v>
      </c>
      <c r="H14" s="19" t="s">
        <v>182</v>
      </c>
      <c r="I14" s="19" t="s">
        <v>182</v>
      </c>
      <c r="J14" s="19" t="s">
        <v>182</v>
      </c>
      <c r="K14" s="19" t="s">
        <v>182</v>
      </c>
      <c r="L14" s="19" t="s">
        <v>182</v>
      </c>
    </row>
    <row r="15" spans="2:17" ht="15.75" thickBot="1" x14ac:dyDescent="0.3">
      <c r="B15" s="18" t="s">
        <v>98</v>
      </c>
      <c r="C15" s="19">
        <v>1787</v>
      </c>
      <c r="D15" s="19">
        <v>1831</v>
      </c>
      <c r="E15" s="19">
        <v>1635</v>
      </c>
      <c r="F15" s="19">
        <v>1089</v>
      </c>
      <c r="G15" s="19">
        <v>1669</v>
      </c>
      <c r="H15" s="20">
        <v>725</v>
      </c>
      <c r="I15" s="20">
        <v>796</v>
      </c>
      <c r="J15" s="20">
        <v>937</v>
      </c>
      <c r="K15" s="19">
        <v>1183</v>
      </c>
      <c r="L15" s="20">
        <v>932</v>
      </c>
    </row>
    <row r="16" spans="2:17" ht="15.75" thickBot="1" x14ac:dyDescent="0.3">
      <c r="B16" s="18" t="s">
        <v>99</v>
      </c>
      <c r="C16" s="19">
        <v>1683</v>
      </c>
      <c r="D16" s="19">
        <v>1646</v>
      </c>
      <c r="E16" s="19">
        <v>1446</v>
      </c>
      <c r="F16" s="19">
        <v>1063</v>
      </c>
      <c r="G16" s="19">
        <v>1277</v>
      </c>
      <c r="H16" s="19">
        <v>1475</v>
      </c>
      <c r="I16" s="19">
        <v>1457</v>
      </c>
      <c r="J16" s="19">
        <v>1773</v>
      </c>
      <c r="K16" s="19">
        <v>2110</v>
      </c>
      <c r="L16" s="19">
        <v>1811</v>
      </c>
      <c r="Q16" s="133"/>
    </row>
    <row r="17" spans="2:12" ht="15.75" thickBot="1" x14ac:dyDescent="0.3">
      <c r="B17" s="18" t="s">
        <v>100</v>
      </c>
      <c r="C17" s="19">
        <v>2981</v>
      </c>
      <c r="D17" s="19">
        <v>2950</v>
      </c>
      <c r="E17" s="19">
        <v>2694</v>
      </c>
      <c r="F17" s="19">
        <v>2368</v>
      </c>
      <c r="G17" s="19">
        <v>2437</v>
      </c>
      <c r="H17" s="20">
        <v>996</v>
      </c>
      <c r="I17" s="19">
        <v>1051</v>
      </c>
      <c r="J17" s="19">
        <v>1343</v>
      </c>
      <c r="K17" s="19">
        <v>1582</v>
      </c>
      <c r="L17" s="19">
        <v>1414</v>
      </c>
    </row>
    <row r="18" spans="2:12" ht="15.75" thickBot="1" x14ac:dyDescent="0.3">
      <c r="B18" s="18" t="s">
        <v>101</v>
      </c>
      <c r="C18" s="19">
        <v>1256</v>
      </c>
      <c r="D18" s="19">
        <v>1293</v>
      </c>
      <c r="E18" s="19">
        <v>1138</v>
      </c>
      <c r="F18" s="19">
        <v>1116</v>
      </c>
      <c r="G18" s="19">
        <v>1131</v>
      </c>
      <c r="H18" s="20">
        <v>572</v>
      </c>
      <c r="I18" s="20">
        <v>564</v>
      </c>
      <c r="J18" s="20">
        <v>676</v>
      </c>
      <c r="K18" s="20">
        <v>776</v>
      </c>
      <c r="L18" s="20">
        <v>613</v>
      </c>
    </row>
    <row r="19" spans="2:12" ht="15.75" thickBot="1" x14ac:dyDescent="0.3">
      <c r="B19" s="18" t="s">
        <v>102</v>
      </c>
      <c r="C19" s="19">
        <v>1481</v>
      </c>
      <c r="D19" s="19">
        <v>1368</v>
      </c>
      <c r="E19" s="19">
        <v>1214</v>
      </c>
      <c r="F19" s="20">
        <v>871</v>
      </c>
      <c r="G19" s="20">
        <v>973</v>
      </c>
      <c r="H19" s="19">
        <v>1088</v>
      </c>
      <c r="I19" s="19">
        <v>1067</v>
      </c>
      <c r="J19" s="19">
        <v>1368</v>
      </c>
      <c r="K19" s="19">
        <v>1541</v>
      </c>
      <c r="L19" s="19">
        <v>1371</v>
      </c>
    </row>
    <row r="20" spans="2:12" ht="15.75" thickBot="1" x14ac:dyDescent="0.3">
      <c r="B20" s="18" t="s">
        <v>103</v>
      </c>
      <c r="C20" s="19">
        <v>2848</v>
      </c>
      <c r="D20" s="19">
        <v>2947</v>
      </c>
      <c r="E20" s="19">
        <v>2568</v>
      </c>
      <c r="F20" s="19">
        <v>2362</v>
      </c>
      <c r="G20" s="19">
        <v>2516</v>
      </c>
      <c r="H20" s="20">
        <v>858</v>
      </c>
      <c r="I20" s="20">
        <v>943</v>
      </c>
      <c r="J20" s="19">
        <v>1133</v>
      </c>
      <c r="K20" s="19">
        <v>1279</v>
      </c>
      <c r="L20" s="19">
        <v>1092</v>
      </c>
    </row>
    <row r="21" spans="2:12" ht="15.75" thickBot="1" x14ac:dyDescent="0.3">
      <c r="B21" s="18" t="s">
        <v>104</v>
      </c>
      <c r="C21" s="19">
        <v>1614</v>
      </c>
      <c r="D21" s="19">
        <v>1603</v>
      </c>
      <c r="E21" s="19">
        <v>1409</v>
      </c>
      <c r="F21" s="19">
        <v>1209</v>
      </c>
      <c r="G21" s="19">
        <v>1269</v>
      </c>
      <c r="H21" s="20">
        <v>834</v>
      </c>
      <c r="I21" s="20">
        <v>837</v>
      </c>
      <c r="J21" s="20">
        <v>999</v>
      </c>
      <c r="K21" s="20">
        <v>1264</v>
      </c>
      <c r="L21" s="20">
        <v>967</v>
      </c>
    </row>
    <row r="22" spans="2:12" ht="15.75" thickBot="1" x14ac:dyDescent="0.3">
      <c r="B22" s="18" t="s">
        <v>105</v>
      </c>
      <c r="C22" s="20">
        <v>985</v>
      </c>
      <c r="D22" s="20">
        <v>969</v>
      </c>
      <c r="E22" s="20">
        <v>852</v>
      </c>
      <c r="F22" s="20">
        <v>680</v>
      </c>
      <c r="G22" s="20">
        <v>752</v>
      </c>
      <c r="H22" s="20">
        <v>934</v>
      </c>
      <c r="I22" s="20">
        <v>974</v>
      </c>
      <c r="J22" s="19">
        <v>1226</v>
      </c>
      <c r="K22" s="19">
        <v>1582</v>
      </c>
      <c r="L22" s="19">
        <v>1383</v>
      </c>
    </row>
    <row r="23" spans="2:12" ht="15.75" thickBot="1" x14ac:dyDescent="0.3">
      <c r="B23" s="18" t="s">
        <v>106</v>
      </c>
      <c r="C23" s="19">
        <v>1467</v>
      </c>
      <c r="D23" s="19">
        <v>1551</v>
      </c>
      <c r="E23" s="19">
        <v>1364</v>
      </c>
      <c r="F23" s="19">
        <v>1367</v>
      </c>
      <c r="G23" s="19">
        <v>1375</v>
      </c>
      <c r="H23" s="20">
        <v>826</v>
      </c>
      <c r="I23" s="20">
        <v>914</v>
      </c>
      <c r="J23" s="19">
        <v>1151</v>
      </c>
      <c r="K23" s="19">
        <v>1329</v>
      </c>
      <c r="L23" s="19">
        <v>1240</v>
      </c>
    </row>
    <row r="24" spans="2:12" ht="15.75" thickBot="1" x14ac:dyDescent="0.3">
      <c r="B24" s="18" t="s">
        <v>107</v>
      </c>
      <c r="C24" s="19">
        <v>1446</v>
      </c>
      <c r="D24" s="19">
        <v>1526</v>
      </c>
      <c r="E24" s="19">
        <v>1452</v>
      </c>
      <c r="F24" s="19">
        <v>1553</v>
      </c>
      <c r="G24" s="19">
        <v>1574</v>
      </c>
      <c r="H24" s="19">
        <v>1220</v>
      </c>
      <c r="I24" s="19">
        <v>1294</v>
      </c>
      <c r="J24" s="19">
        <v>1505</v>
      </c>
      <c r="K24" s="19">
        <v>1658</v>
      </c>
      <c r="L24" s="19">
        <v>1534</v>
      </c>
    </row>
    <row r="25" spans="2:12" ht="15.75" thickBot="1" x14ac:dyDescent="0.3">
      <c r="B25" s="18" t="s">
        <v>108</v>
      </c>
      <c r="C25" s="19">
        <v>1807</v>
      </c>
      <c r="D25" s="19">
        <v>1855</v>
      </c>
      <c r="E25" s="19">
        <v>1649</v>
      </c>
      <c r="F25" s="19">
        <v>1591</v>
      </c>
      <c r="G25" s="19">
        <v>1622</v>
      </c>
      <c r="H25" s="20">
        <v>892</v>
      </c>
      <c r="I25" s="20">
        <v>883</v>
      </c>
      <c r="J25" s="19">
        <v>1066</v>
      </c>
      <c r="K25" s="19">
        <v>1397</v>
      </c>
      <c r="L25" s="19">
        <v>1018</v>
      </c>
    </row>
    <row r="26" spans="2:12" ht="15.75" thickBot="1" x14ac:dyDescent="0.3">
      <c r="B26" s="18" t="s">
        <v>132</v>
      </c>
      <c r="C26" s="19">
        <v>1216</v>
      </c>
      <c r="D26" s="19">
        <v>1220</v>
      </c>
      <c r="E26" s="19">
        <v>1072</v>
      </c>
      <c r="F26" s="19">
        <v>1001</v>
      </c>
      <c r="G26" s="19">
        <v>1028</v>
      </c>
      <c r="H26" s="19">
        <v>1719</v>
      </c>
      <c r="I26" s="19">
        <v>1799</v>
      </c>
      <c r="J26" s="19">
        <v>2068</v>
      </c>
      <c r="K26" s="19">
        <v>2238</v>
      </c>
      <c r="L26" s="19">
        <v>2066</v>
      </c>
    </row>
    <row r="27" spans="2:12" ht="15.75" thickBot="1" x14ac:dyDescent="0.3">
      <c r="B27" s="18" t="s">
        <v>133</v>
      </c>
      <c r="C27" s="19">
        <v>1387</v>
      </c>
      <c r="D27" s="19">
        <v>1398</v>
      </c>
      <c r="E27" s="19">
        <v>1252</v>
      </c>
      <c r="F27" s="19">
        <v>1222</v>
      </c>
      <c r="G27" s="19">
        <v>1269</v>
      </c>
      <c r="H27" s="19">
        <v>1267</v>
      </c>
      <c r="I27" s="19">
        <v>1302</v>
      </c>
      <c r="J27" s="19">
        <v>1604</v>
      </c>
      <c r="K27" s="19">
        <v>1798</v>
      </c>
      <c r="L27" s="19">
        <v>1592</v>
      </c>
    </row>
    <row r="28" spans="2:12" ht="15.75" thickBot="1" x14ac:dyDescent="0.3">
      <c r="B28" s="18" t="s">
        <v>134</v>
      </c>
      <c r="C28" s="20">
        <v>665</v>
      </c>
      <c r="D28" s="20">
        <v>697</v>
      </c>
      <c r="E28" s="20">
        <v>628</v>
      </c>
      <c r="F28" s="20">
        <v>646</v>
      </c>
      <c r="G28" s="20">
        <v>615</v>
      </c>
      <c r="H28" s="19">
        <v>3313</v>
      </c>
      <c r="I28" s="19">
        <v>3332</v>
      </c>
      <c r="J28" s="19">
        <v>3458</v>
      </c>
      <c r="K28" s="19">
        <v>3546</v>
      </c>
      <c r="L28" s="19">
        <v>3311</v>
      </c>
    </row>
    <row r="29" spans="2:12" ht="15.75" thickBot="1" x14ac:dyDescent="0.3">
      <c r="B29" s="18" t="s">
        <v>109</v>
      </c>
      <c r="C29" s="19">
        <v>1622</v>
      </c>
      <c r="D29" s="19">
        <v>1571</v>
      </c>
      <c r="E29" s="19">
        <v>1374</v>
      </c>
      <c r="F29" s="19">
        <v>1220</v>
      </c>
      <c r="G29" s="19">
        <v>1281</v>
      </c>
      <c r="H29" s="19">
        <v>1575</v>
      </c>
      <c r="I29" s="19">
        <v>1562</v>
      </c>
      <c r="J29" s="19">
        <v>1921</v>
      </c>
      <c r="K29" s="19">
        <v>1979</v>
      </c>
      <c r="L29" s="19">
        <v>1812</v>
      </c>
    </row>
    <row r="30" spans="2:12" ht="15.75" thickBot="1" x14ac:dyDescent="0.3">
      <c r="B30" s="18" t="s">
        <v>110</v>
      </c>
      <c r="C30" s="19">
        <v>1597</v>
      </c>
      <c r="D30" s="19">
        <v>1634</v>
      </c>
      <c r="E30" s="19">
        <v>1468</v>
      </c>
      <c r="F30" s="19">
        <v>1376</v>
      </c>
      <c r="G30" s="19">
        <v>1451</v>
      </c>
      <c r="H30" s="19">
        <v>1106</v>
      </c>
      <c r="I30" s="19">
        <v>1148</v>
      </c>
      <c r="J30" s="19">
        <v>1453</v>
      </c>
      <c r="K30" s="19">
        <v>1605</v>
      </c>
      <c r="L30" s="19">
        <v>1435</v>
      </c>
    </row>
    <row r="31" spans="2:12" ht="15.75" thickBot="1" x14ac:dyDescent="0.3">
      <c r="B31" s="18" t="s">
        <v>111</v>
      </c>
      <c r="C31" s="19">
        <v>1670</v>
      </c>
      <c r="D31" s="19">
        <v>1733</v>
      </c>
      <c r="E31" s="19">
        <v>1549</v>
      </c>
      <c r="F31" s="19">
        <v>1496</v>
      </c>
      <c r="G31" s="19">
        <v>1557</v>
      </c>
      <c r="H31" s="19">
        <v>1108</v>
      </c>
      <c r="I31" s="19">
        <v>1168</v>
      </c>
      <c r="J31" s="19">
        <v>1430</v>
      </c>
      <c r="K31" s="19">
        <v>1574</v>
      </c>
      <c r="L31" s="19">
        <v>1406</v>
      </c>
    </row>
    <row r="32" spans="2:12" ht="15.75" thickBot="1" x14ac:dyDescent="0.3">
      <c r="B32" s="18" t="s">
        <v>112</v>
      </c>
      <c r="C32" s="19">
        <v>1555</v>
      </c>
      <c r="D32" s="19">
        <v>1597</v>
      </c>
      <c r="E32" s="19">
        <v>1433</v>
      </c>
      <c r="F32" s="19">
        <v>1316</v>
      </c>
      <c r="G32" s="19">
        <v>1400</v>
      </c>
      <c r="H32" s="19">
        <v>1061</v>
      </c>
      <c r="I32" s="19">
        <v>1106</v>
      </c>
      <c r="J32" s="19">
        <v>1391</v>
      </c>
      <c r="K32" s="19">
        <v>1509</v>
      </c>
      <c r="L32" s="19">
        <v>1401</v>
      </c>
    </row>
    <row r="33" spans="2:12" ht="15.75" thickBot="1" x14ac:dyDescent="0.3">
      <c r="B33" s="18" t="s">
        <v>113</v>
      </c>
      <c r="C33" s="19">
        <v>1048</v>
      </c>
      <c r="D33" s="19">
        <v>1013</v>
      </c>
      <c r="E33" s="20">
        <v>939</v>
      </c>
      <c r="F33" s="20">
        <v>567</v>
      </c>
      <c r="G33" s="20">
        <v>634</v>
      </c>
      <c r="H33" s="19">
        <v>1010</v>
      </c>
      <c r="I33" s="19">
        <v>1055</v>
      </c>
      <c r="J33" s="19">
        <v>1209</v>
      </c>
      <c r="K33" s="19">
        <v>1453</v>
      </c>
      <c r="L33" s="19">
        <v>1273</v>
      </c>
    </row>
    <row r="34" spans="2:12" ht="15.75" thickBot="1" x14ac:dyDescent="0.3">
      <c r="B34" s="18" t="s">
        <v>114</v>
      </c>
      <c r="C34" s="19">
        <v>1565</v>
      </c>
      <c r="D34" s="19">
        <v>1540</v>
      </c>
      <c r="E34" s="19">
        <v>1448</v>
      </c>
      <c r="F34" s="19">
        <v>1089</v>
      </c>
      <c r="G34" s="19">
        <v>1125</v>
      </c>
      <c r="H34" s="20">
        <v>928</v>
      </c>
      <c r="I34" s="20">
        <v>920</v>
      </c>
      <c r="J34" s="19">
        <v>1059</v>
      </c>
      <c r="K34" s="19">
        <v>1360</v>
      </c>
      <c r="L34" s="19">
        <v>1205</v>
      </c>
    </row>
    <row r="35" spans="2:12" ht="15.75" thickBot="1" x14ac:dyDescent="0.3">
      <c r="B35" s="18" t="s">
        <v>115</v>
      </c>
      <c r="C35" s="20">
        <v>537</v>
      </c>
      <c r="D35" s="20">
        <v>558</v>
      </c>
      <c r="E35" s="20">
        <v>501</v>
      </c>
      <c r="F35" s="20">
        <v>480</v>
      </c>
      <c r="G35" s="20">
        <v>499</v>
      </c>
      <c r="H35" s="19">
        <v>1405</v>
      </c>
      <c r="I35" s="19">
        <v>1383</v>
      </c>
      <c r="J35" s="19">
        <v>1479</v>
      </c>
      <c r="K35" s="19">
        <v>1527</v>
      </c>
      <c r="L35" s="19">
        <v>1466</v>
      </c>
    </row>
    <row r="36" spans="2:12" ht="15.75" thickBot="1" x14ac:dyDescent="0.3">
      <c r="B36" s="18" t="s">
        <v>116</v>
      </c>
      <c r="C36" s="19">
        <v>1665</v>
      </c>
      <c r="D36" s="19">
        <v>1666</v>
      </c>
      <c r="E36" s="19">
        <v>1512</v>
      </c>
      <c r="F36" s="19">
        <v>1145</v>
      </c>
      <c r="G36" s="19">
        <v>1207</v>
      </c>
      <c r="H36" s="20">
        <v>764</v>
      </c>
      <c r="I36" s="20">
        <v>807</v>
      </c>
      <c r="J36" s="20">
        <v>976</v>
      </c>
      <c r="K36" s="19">
        <v>1216</v>
      </c>
      <c r="L36" s="19">
        <v>1147</v>
      </c>
    </row>
    <row r="37" spans="2:12" ht="15.75" thickBot="1" x14ac:dyDescent="0.3">
      <c r="B37" s="18" t="s">
        <v>117</v>
      </c>
      <c r="C37" s="19">
        <v>1730</v>
      </c>
      <c r="D37" s="19">
        <v>1782</v>
      </c>
      <c r="E37" s="19">
        <v>1589</v>
      </c>
      <c r="F37" s="19">
        <v>1538</v>
      </c>
      <c r="G37" s="19">
        <v>1560</v>
      </c>
      <c r="H37" s="20">
        <v>787</v>
      </c>
      <c r="I37" s="20">
        <v>855</v>
      </c>
      <c r="J37" s="19">
        <v>1099</v>
      </c>
      <c r="K37" s="19">
        <v>1198</v>
      </c>
      <c r="L37" s="19">
        <v>1082</v>
      </c>
    </row>
    <row r="38" spans="2:12" ht="15.75" thickBot="1" x14ac:dyDescent="0.3">
      <c r="B38" s="18" t="s">
        <v>118</v>
      </c>
      <c r="C38" s="19">
        <v>1916</v>
      </c>
      <c r="D38" s="19">
        <v>1905</v>
      </c>
      <c r="E38" s="19">
        <v>1718</v>
      </c>
      <c r="F38" s="19">
        <v>1288</v>
      </c>
      <c r="G38" s="19">
        <v>1538</v>
      </c>
      <c r="H38" s="20">
        <v>876</v>
      </c>
      <c r="I38" s="20">
        <v>745</v>
      </c>
      <c r="J38" s="19">
        <v>1036</v>
      </c>
      <c r="K38" s="19">
        <v>1178</v>
      </c>
      <c r="L38" s="19">
        <v>1010</v>
      </c>
    </row>
    <row r="39" spans="2:12" ht="15.75" thickBot="1" x14ac:dyDescent="0.3">
      <c r="B39" s="18" t="s">
        <v>119</v>
      </c>
      <c r="C39" s="20">
        <v>995</v>
      </c>
      <c r="D39" s="19">
        <v>1036</v>
      </c>
      <c r="E39" s="20">
        <v>933</v>
      </c>
      <c r="F39" s="20">
        <v>786</v>
      </c>
      <c r="G39" s="20">
        <v>832</v>
      </c>
      <c r="H39" s="19">
        <v>1357</v>
      </c>
      <c r="I39" s="19">
        <v>1404</v>
      </c>
      <c r="J39" s="19">
        <v>1587</v>
      </c>
      <c r="K39" s="19">
        <v>1753</v>
      </c>
      <c r="L39" s="19">
        <v>1468</v>
      </c>
    </row>
    <row r="40" spans="2:12" ht="15.75" thickBot="1" x14ac:dyDescent="0.3">
      <c r="B40" s="18" t="s">
        <v>120</v>
      </c>
      <c r="C40" s="19">
        <v>2244</v>
      </c>
      <c r="D40" s="19">
        <v>2237</v>
      </c>
      <c r="E40" s="19">
        <v>2024</v>
      </c>
      <c r="F40" s="19">
        <v>1553</v>
      </c>
      <c r="G40" s="19">
        <v>1608</v>
      </c>
      <c r="H40" s="19">
        <v>3489</v>
      </c>
      <c r="I40" s="19">
        <v>3453</v>
      </c>
      <c r="J40" s="19">
        <v>3663</v>
      </c>
      <c r="K40" s="19">
        <v>4403</v>
      </c>
      <c r="L40" s="19">
        <v>4208</v>
      </c>
    </row>
    <row r="41" spans="2:12" ht="15.75" thickBot="1" x14ac:dyDescent="0.3">
      <c r="B41" s="18" t="s">
        <v>121</v>
      </c>
      <c r="C41" s="19">
        <v>1552</v>
      </c>
      <c r="D41" s="19">
        <v>1432</v>
      </c>
      <c r="E41" s="19">
        <v>1239</v>
      </c>
      <c r="F41" s="19">
        <v>1077</v>
      </c>
      <c r="G41" s="19">
        <v>1098</v>
      </c>
      <c r="H41" s="20">
        <v>847</v>
      </c>
      <c r="I41" s="20">
        <v>887</v>
      </c>
      <c r="J41" s="20">
        <v>991</v>
      </c>
      <c r="K41" s="19">
        <v>1092</v>
      </c>
      <c r="L41" s="20">
        <v>893</v>
      </c>
    </row>
    <row r="42" spans="2:12" ht="15.75" thickBot="1" x14ac:dyDescent="0.3">
      <c r="B42" s="18" t="s">
        <v>122</v>
      </c>
      <c r="C42" s="19">
        <v>1015</v>
      </c>
      <c r="D42" s="20">
        <v>993</v>
      </c>
      <c r="E42" s="20">
        <v>899</v>
      </c>
      <c r="F42" s="20">
        <v>773</v>
      </c>
      <c r="G42" s="20">
        <v>809</v>
      </c>
      <c r="H42" s="19">
        <v>1083</v>
      </c>
      <c r="I42" s="19">
        <v>1116</v>
      </c>
      <c r="J42" s="19">
        <v>1269</v>
      </c>
      <c r="K42" s="19">
        <v>1348</v>
      </c>
      <c r="L42" s="19">
        <v>1266</v>
      </c>
    </row>
    <row r="43" spans="2:12" ht="15.75" thickBot="1" x14ac:dyDescent="0.3">
      <c r="B43" s="18" t="s">
        <v>123</v>
      </c>
      <c r="C43" s="19">
        <v>2825</v>
      </c>
      <c r="D43" s="19">
        <v>2625</v>
      </c>
      <c r="E43" s="19">
        <v>2365</v>
      </c>
      <c r="F43" s="19">
        <v>2007</v>
      </c>
      <c r="G43" s="19">
        <v>2040</v>
      </c>
      <c r="H43" s="19">
        <v>1796</v>
      </c>
      <c r="I43" s="19">
        <v>1790</v>
      </c>
      <c r="J43" s="19">
        <v>2233</v>
      </c>
      <c r="K43" s="19">
        <v>2342</v>
      </c>
      <c r="L43" s="19">
        <v>2219</v>
      </c>
    </row>
    <row r="44" spans="2:12" ht="15.75" thickBot="1" x14ac:dyDescent="0.3">
      <c r="B44" s="18" t="s">
        <v>124</v>
      </c>
      <c r="C44" s="19">
        <v>1672</v>
      </c>
      <c r="D44" s="19">
        <v>1629</v>
      </c>
      <c r="E44" s="19">
        <v>1454</v>
      </c>
      <c r="F44" s="19">
        <v>1356</v>
      </c>
      <c r="G44" s="19">
        <v>1399</v>
      </c>
      <c r="H44" s="19">
        <v>1128</v>
      </c>
      <c r="I44" s="19">
        <v>1153</v>
      </c>
      <c r="J44" s="19">
        <v>1360</v>
      </c>
      <c r="K44" s="19">
        <v>1461</v>
      </c>
      <c r="L44" s="19">
        <v>1356</v>
      </c>
    </row>
    <row r="45" spans="2:12" ht="15.75" thickBot="1" x14ac:dyDescent="0.3">
      <c r="B45" s="18" t="s">
        <v>125</v>
      </c>
      <c r="C45" s="19">
        <v>2757</v>
      </c>
      <c r="D45" s="19">
        <v>2670</v>
      </c>
      <c r="E45" s="19">
        <v>2383</v>
      </c>
      <c r="F45" s="19">
        <v>2149</v>
      </c>
      <c r="G45" s="19">
        <v>2186</v>
      </c>
      <c r="H45" s="19">
        <v>2983</v>
      </c>
      <c r="I45" s="19">
        <v>3009</v>
      </c>
      <c r="J45" s="19">
        <v>3762</v>
      </c>
      <c r="K45" s="19">
        <v>4030</v>
      </c>
      <c r="L45" s="19">
        <v>3740</v>
      </c>
    </row>
    <row r="46" spans="2:12" ht="15.75" thickBot="1" x14ac:dyDescent="0.3">
      <c r="B46" s="18" t="s">
        <v>126</v>
      </c>
      <c r="C46" s="19">
        <v>1603</v>
      </c>
      <c r="D46" s="19">
        <v>1504</v>
      </c>
      <c r="E46" s="19">
        <v>1440</v>
      </c>
      <c r="F46" s="19">
        <v>1054</v>
      </c>
      <c r="G46" s="19">
        <v>1205</v>
      </c>
      <c r="H46" s="20">
        <v>861</v>
      </c>
      <c r="I46" s="20">
        <v>817</v>
      </c>
      <c r="J46" s="20">
        <v>967</v>
      </c>
      <c r="K46" s="19">
        <v>1159</v>
      </c>
      <c r="L46" s="19">
        <v>1067</v>
      </c>
    </row>
    <row r="47" spans="2:12" ht="15.75" thickBot="1" x14ac:dyDescent="0.3">
      <c r="B47" s="18" t="s">
        <v>127</v>
      </c>
      <c r="C47" s="19">
        <v>1326</v>
      </c>
      <c r="D47" s="19">
        <v>1328</v>
      </c>
      <c r="E47" s="19">
        <v>1179</v>
      </c>
      <c r="F47" s="19">
        <v>1091</v>
      </c>
      <c r="G47" s="19">
        <v>1122</v>
      </c>
      <c r="H47" s="20">
        <v>990</v>
      </c>
      <c r="I47" s="19">
        <v>1021</v>
      </c>
      <c r="J47" s="19">
        <v>1273</v>
      </c>
      <c r="K47" s="19">
        <v>1411</v>
      </c>
      <c r="L47" s="19">
        <v>1290</v>
      </c>
    </row>
    <row r="48" spans="2:12" ht="15.75" thickBot="1" x14ac:dyDescent="0.3">
      <c r="B48" s="18" t="s">
        <v>128</v>
      </c>
      <c r="C48" s="19">
        <v>1365</v>
      </c>
      <c r="D48" s="19">
        <v>1322</v>
      </c>
      <c r="E48" s="19">
        <v>1193</v>
      </c>
      <c r="F48" s="19">
        <v>1034</v>
      </c>
      <c r="G48" s="19">
        <v>1088</v>
      </c>
      <c r="H48" s="20">
        <v>639</v>
      </c>
      <c r="I48" s="20">
        <v>640</v>
      </c>
      <c r="J48" s="20">
        <v>775</v>
      </c>
      <c r="K48" s="20">
        <v>936</v>
      </c>
      <c r="L48" s="20">
        <v>812</v>
      </c>
    </row>
    <row r="49" spans="2:17" ht="15.75" thickBot="1" x14ac:dyDescent="0.3">
      <c r="B49" s="18" t="s">
        <v>129</v>
      </c>
      <c r="C49" s="19">
        <v>1347</v>
      </c>
      <c r="D49" s="19">
        <v>1325</v>
      </c>
      <c r="E49" s="19">
        <v>1183</v>
      </c>
      <c r="F49" s="19">
        <v>1064</v>
      </c>
      <c r="G49" s="19">
        <v>1096</v>
      </c>
      <c r="H49" s="20">
        <v>697</v>
      </c>
      <c r="I49" s="20">
        <v>720</v>
      </c>
      <c r="J49" s="20">
        <v>915</v>
      </c>
      <c r="K49" s="20">
        <v>998</v>
      </c>
      <c r="L49" s="20">
        <v>930</v>
      </c>
    </row>
    <row r="50" spans="2:17" ht="15.75" thickBot="1" x14ac:dyDescent="0.3">
      <c r="B50" s="18" t="s">
        <v>130</v>
      </c>
      <c r="C50" s="19">
        <v>1285</v>
      </c>
      <c r="D50" s="19">
        <v>1286</v>
      </c>
      <c r="E50" s="19">
        <v>1180</v>
      </c>
      <c r="F50" s="19">
        <v>1147</v>
      </c>
      <c r="G50" s="19">
        <v>1224</v>
      </c>
      <c r="H50" s="20">
        <v>252</v>
      </c>
      <c r="I50" s="20">
        <v>265</v>
      </c>
      <c r="J50" s="20">
        <v>363</v>
      </c>
      <c r="K50" s="20">
        <v>377</v>
      </c>
      <c r="L50" s="20">
        <v>379</v>
      </c>
    </row>
    <row r="51" spans="2:17" ht="15.75" thickBot="1" x14ac:dyDescent="0.3">
      <c r="B51" s="18" t="s">
        <v>131</v>
      </c>
      <c r="C51" s="19">
        <v>1709</v>
      </c>
      <c r="D51" s="19">
        <v>1678</v>
      </c>
      <c r="E51" s="19">
        <v>1508</v>
      </c>
      <c r="F51" s="19">
        <v>1287</v>
      </c>
      <c r="G51" s="19">
        <v>1411</v>
      </c>
      <c r="H51" s="19">
        <v>1003</v>
      </c>
      <c r="I51" s="19">
        <v>1019</v>
      </c>
      <c r="J51" s="19">
        <v>1230</v>
      </c>
      <c r="K51" s="19">
        <v>1403</v>
      </c>
      <c r="L51" s="19">
        <v>1236</v>
      </c>
    </row>
    <row r="53" spans="2:17" ht="15.75" thickBot="1" x14ac:dyDescent="0.3">
      <c r="B53" s="3" t="s">
        <v>142</v>
      </c>
    </row>
    <row r="54" spans="2:17" ht="15.75" thickBot="1" x14ac:dyDescent="0.3">
      <c r="B54" s="343" t="s">
        <v>2</v>
      </c>
      <c r="C54" s="345" t="s">
        <v>135</v>
      </c>
      <c r="D54" s="346"/>
      <c r="E54" s="346"/>
      <c r="F54" s="346"/>
      <c r="G54" s="349"/>
      <c r="H54" s="345" t="s">
        <v>143</v>
      </c>
      <c r="I54" s="346"/>
      <c r="J54" s="346"/>
      <c r="K54" s="346"/>
      <c r="L54" s="349"/>
    </row>
    <row r="55" spans="2:17" ht="39" thickBot="1" x14ac:dyDescent="0.3">
      <c r="B55" s="348"/>
      <c r="C55" s="17" t="s">
        <v>93</v>
      </c>
      <c r="D55" s="17" t="s">
        <v>94</v>
      </c>
      <c r="E55" s="17" t="s">
        <v>95</v>
      </c>
      <c r="F55" s="17" t="s">
        <v>96</v>
      </c>
      <c r="G55" s="17" t="s">
        <v>97</v>
      </c>
      <c r="H55" s="17" t="s">
        <v>93</v>
      </c>
      <c r="I55" s="17" t="s">
        <v>94</v>
      </c>
      <c r="J55" s="17" t="s">
        <v>95</v>
      </c>
      <c r="K55" s="17" t="s">
        <v>96</v>
      </c>
      <c r="L55" s="17" t="s">
        <v>97</v>
      </c>
    </row>
    <row r="56" spans="2:17" ht="15.75" thickBot="1" x14ac:dyDescent="0.3">
      <c r="B56" s="23" t="s">
        <v>46</v>
      </c>
      <c r="C56" s="19" t="s">
        <v>182</v>
      </c>
      <c r="D56" s="19" t="s">
        <v>182</v>
      </c>
      <c r="E56" s="19" t="s">
        <v>182</v>
      </c>
      <c r="F56" s="19" t="s">
        <v>182</v>
      </c>
      <c r="G56" s="19" t="s">
        <v>182</v>
      </c>
      <c r="H56" s="19" t="s">
        <v>182</v>
      </c>
      <c r="I56" s="19" t="s">
        <v>182</v>
      </c>
      <c r="J56" s="19" t="s">
        <v>182</v>
      </c>
      <c r="K56" s="19" t="s">
        <v>182</v>
      </c>
      <c r="L56" s="19" t="s">
        <v>182</v>
      </c>
    </row>
    <row r="57" spans="2:17" ht="15.75" thickBot="1" x14ac:dyDescent="0.3">
      <c r="B57" s="18" t="s">
        <v>100</v>
      </c>
      <c r="C57" s="19">
        <v>1286</v>
      </c>
      <c r="D57" s="19">
        <v>1185</v>
      </c>
      <c r="E57" s="19">
        <v>1279</v>
      </c>
      <c r="F57" s="19">
        <v>1138</v>
      </c>
      <c r="G57" s="19">
        <v>1078</v>
      </c>
      <c r="H57" s="20">
        <v>806</v>
      </c>
      <c r="I57" s="20">
        <v>923</v>
      </c>
      <c r="J57" s="20">
        <v>792</v>
      </c>
      <c r="K57" s="20">
        <v>938</v>
      </c>
      <c r="L57" s="19">
        <v>1028</v>
      </c>
      <c r="Q57" s="133"/>
    </row>
    <row r="58" spans="2:17" ht="15.75" thickBot="1" x14ac:dyDescent="0.3">
      <c r="B58" s="18" t="s">
        <v>101</v>
      </c>
      <c r="C58" s="20">
        <v>942</v>
      </c>
      <c r="D58" s="20">
        <v>834</v>
      </c>
      <c r="E58" s="20">
        <v>906</v>
      </c>
      <c r="F58" s="20">
        <v>831</v>
      </c>
      <c r="G58" s="20">
        <v>818</v>
      </c>
      <c r="H58" s="20">
        <v>925</v>
      </c>
      <c r="I58" s="20">
        <v>990</v>
      </c>
      <c r="J58" s="20">
        <v>994</v>
      </c>
      <c r="K58" s="19">
        <v>1156</v>
      </c>
      <c r="L58" s="19">
        <v>1217</v>
      </c>
    </row>
    <row r="59" spans="2:17" ht="15.75" thickBot="1" x14ac:dyDescent="0.3">
      <c r="B59" s="18" t="s">
        <v>103</v>
      </c>
      <c r="C59" s="19">
        <v>1023</v>
      </c>
      <c r="D59" s="20">
        <v>930</v>
      </c>
      <c r="E59" s="19">
        <v>1017</v>
      </c>
      <c r="F59" s="20">
        <v>889</v>
      </c>
      <c r="G59" s="20">
        <v>822</v>
      </c>
      <c r="H59" s="20">
        <v>813</v>
      </c>
      <c r="I59" s="20">
        <v>931</v>
      </c>
      <c r="J59" s="20">
        <v>744</v>
      </c>
      <c r="K59" s="20">
        <v>836</v>
      </c>
      <c r="L59" s="19">
        <v>1083</v>
      </c>
    </row>
    <row r="60" spans="2:17" ht="15.75" thickBot="1" x14ac:dyDescent="0.3">
      <c r="B60" s="18" t="s">
        <v>104</v>
      </c>
      <c r="C60" s="20">
        <v>949</v>
      </c>
      <c r="D60" s="20">
        <v>878</v>
      </c>
      <c r="E60" s="20">
        <v>943</v>
      </c>
      <c r="F60" s="20">
        <v>861</v>
      </c>
      <c r="G60" s="20">
        <v>859</v>
      </c>
      <c r="H60" s="20">
        <v>724</v>
      </c>
      <c r="I60" s="20">
        <v>821</v>
      </c>
      <c r="J60" s="20">
        <v>732</v>
      </c>
      <c r="K60" s="20">
        <v>753</v>
      </c>
      <c r="L60" s="20">
        <v>999</v>
      </c>
    </row>
    <row r="61" spans="2:17" ht="15.75" thickBot="1" x14ac:dyDescent="0.3">
      <c r="B61" s="18" t="s">
        <v>106</v>
      </c>
      <c r="C61" s="21">
        <v>2795</v>
      </c>
      <c r="D61" s="21">
        <v>2788</v>
      </c>
      <c r="E61" s="21">
        <v>2549</v>
      </c>
      <c r="F61" s="21">
        <v>2380</v>
      </c>
      <c r="G61" s="21">
        <v>2597</v>
      </c>
      <c r="H61" s="20">
        <v>643</v>
      </c>
      <c r="I61" s="20">
        <v>568</v>
      </c>
      <c r="J61" s="20">
        <v>569</v>
      </c>
      <c r="K61" s="20">
        <v>562</v>
      </c>
      <c r="L61" s="20">
        <v>511</v>
      </c>
    </row>
    <row r="62" spans="2:17" ht="15.75" thickBot="1" x14ac:dyDescent="0.3">
      <c r="B62" s="18" t="s">
        <v>107</v>
      </c>
      <c r="C62" s="21">
        <v>1534</v>
      </c>
      <c r="D62" s="21">
        <v>1417</v>
      </c>
      <c r="E62" s="21">
        <v>1555</v>
      </c>
      <c r="F62" s="21">
        <v>1395</v>
      </c>
      <c r="G62" s="21">
        <v>1371</v>
      </c>
      <c r="H62" s="19">
        <v>1964</v>
      </c>
      <c r="I62" s="19">
        <v>2093</v>
      </c>
      <c r="J62" s="19">
        <v>1932</v>
      </c>
      <c r="K62" s="19">
        <v>2055</v>
      </c>
      <c r="L62" s="19">
        <v>2221</v>
      </c>
    </row>
    <row r="63" spans="2:17" ht="15.75" thickBot="1" x14ac:dyDescent="0.3">
      <c r="B63" s="18" t="s">
        <v>108</v>
      </c>
      <c r="C63" s="21">
        <v>1502</v>
      </c>
      <c r="D63" s="21">
        <v>1549</v>
      </c>
      <c r="E63" s="21">
        <v>1368</v>
      </c>
      <c r="F63" s="21">
        <v>1283</v>
      </c>
      <c r="G63" s="21">
        <v>1299</v>
      </c>
      <c r="H63" s="19">
        <v>1807</v>
      </c>
      <c r="I63" s="19">
        <v>1642</v>
      </c>
      <c r="J63" s="19">
        <v>2093</v>
      </c>
      <c r="K63" s="19">
        <v>2292</v>
      </c>
      <c r="L63" s="19">
        <v>1830</v>
      </c>
    </row>
    <row r="64" spans="2:17" ht="15.75" thickBot="1" x14ac:dyDescent="0.3">
      <c r="B64" s="18" t="s">
        <v>132</v>
      </c>
      <c r="C64" s="19">
        <v>2345</v>
      </c>
      <c r="D64" s="19">
        <v>2207</v>
      </c>
      <c r="E64" s="19">
        <v>2318</v>
      </c>
      <c r="F64" s="19">
        <v>2110</v>
      </c>
      <c r="G64" s="19">
        <v>2195</v>
      </c>
      <c r="H64" s="19">
        <v>2627</v>
      </c>
      <c r="I64" s="19">
        <v>2751</v>
      </c>
      <c r="J64" s="19">
        <v>2662</v>
      </c>
      <c r="K64" s="19">
        <v>2782</v>
      </c>
      <c r="L64" s="19">
        <v>2962</v>
      </c>
    </row>
    <row r="65" spans="2:12" ht="15.75" thickBot="1" x14ac:dyDescent="0.3">
      <c r="B65" s="18" t="s">
        <v>133</v>
      </c>
      <c r="C65" s="19">
        <v>2345</v>
      </c>
      <c r="D65" s="19">
        <v>2207</v>
      </c>
      <c r="E65" s="19">
        <v>2318</v>
      </c>
      <c r="F65" s="19">
        <v>2110</v>
      </c>
      <c r="G65" s="19">
        <v>2195</v>
      </c>
      <c r="H65" s="19">
        <v>2627</v>
      </c>
      <c r="I65" s="19">
        <v>2751</v>
      </c>
      <c r="J65" s="19">
        <v>2662</v>
      </c>
      <c r="K65" s="19">
        <v>2782</v>
      </c>
      <c r="L65" s="19">
        <v>2962</v>
      </c>
    </row>
    <row r="66" spans="2:12" ht="15.75" thickBot="1" x14ac:dyDescent="0.3">
      <c r="B66" s="18" t="s">
        <v>134</v>
      </c>
      <c r="C66" s="19">
        <v>2345</v>
      </c>
      <c r="D66" s="19">
        <v>2207</v>
      </c>
      <c r="E66" s="19">
        <v>2318</v>
      </c>
      <c r="F66" s="19">
        <v>2110</v>
      </c>
      <c r="G66" s="19">
        <v>2195</v>
      </c>
      <c r="H66" s="19">
        <v>2627</v>
      </c>
      <c r="I66" s="19">
        <v>2751</v>
      </c>
      <c r="J66" s="19">
        <v>2662</v>
      </c>
      <c r="K66" s="19">
        <v>2782</v>
      </c>
      <c r="L66" s="19">
        <v>2962</v>
      </c>
    </row>
    <row r="67" spans="2:12" ht="15.75" thickBot="1" x14ac:dyDescent="0.3">
      <c r="B67" s="18" t="s">
        <v>109</v>
      </c>
      <c r="C67" s="19">
        <v>2345</v>
      </c>
      <c r="D67" s="19">
        <v>2207</v>
      </c>
      <c r="E67" s="19">
        <v>2318</v>
      </c>
      <c r="F67" s="19">
        <v>2110</v>
      </c>
      <c r="G67" s="19">
        <v>2195</v>
      </c>
      <c r="H67" s="19">
        <v>2627</v>
      </c>
      <c r="I67" s="19">
        <v>2751</v>
      </c>
      <c r="J67" s="19">
        <v>2662</v>
      </c>
      <c r="K67" s="19">
        <v>2782</v>
      </c>
      <c r="L67" s="19">
        <v>2962</v>
      </c>
    </row>
    <row r="68" spans="2:12" ht="15.75" thickBot="1" x14ac:dyDescent="0.3">
      <c r="B68" s="18" t="s">
        <v>136</v>
      </c>
      <c r="C68" s="19">
        <v>1412</v>
      </c>
      <c r="D68" s="19">
        <v>1243</v>
      </c>
      <c r="E68" s="19">
        <v>1439</v>
      </c>
      <c r="F68" s="19">
        <v>1405</v>
      </c>
      <c r="G68" s="19">
        <v>1146</v>
      </c>
      <c r="H68" s="19">
        <v>1639</v>
      </c>
      <c r="I68" s="19">
        <v>1836</v>
      </c>
      <c r="J68" s="19">
        <v>1712</v>
      </c>
      <c r="K68" s="19">
        <v>1851</v>
      </c>
      <c r="L68" s="19">
        <v>1983</v>
      </c>
    </row>
    <row r="69" spans="2:12" ht="15.75" thickBot="1" x14ac:dyDescent="0.3">
      <c r="B69" s="18" t="s">
        <v>137</v>
      </c>
      <c r="C69" s="19">
        <v>1554</v>
      </c>
      <c r="D69" s="19">
        <v>1415</v>
      </c>
      <c r="E69" s="19">
        <v>1519</v>
      </c>
      <c r="F69" s="19">
        <v>1410</v>
      </c>
      <c r="G69" s="19">
        <v>1361</v>
      </c>
      <c r="H69" s="19">
        <v>2343</v>
      </c>
      <c r="I69" s="19">
        <v>2472</v>
      </c>
      <c r="J69" s="19">
        <v>2286</v>
      </c>
      <c r="K69" s="19">
        <v>2400</v>
      </c>
      <c r="L69" s="19">
        <v>2590</v>
      </c>
    </row>
    <row r="70" spans="2:12" ht="15.75" thickBot="1" x14ac:dyDescent="0.3">
      <c r="B70" s="18" t="s">
        <v>138</v>
      </c>
      <c r="C70" s="19">
        <v>1538</v>
      </c>
      <c r="D70" s="19">
        <v>1083</v>
      </c>
      <c r="E70" s="19">
        <v>1554</v>
      </c>
      <c r="F70" s="19">
        <v>1381</v>
      </c>
      <c r="G70" s="20">
        <v>987</v>
      </c>
      <c r="H70" s="20">
        <v>788</v>
      </c>
      <c r="I70" s="19">
        <v>1024</v>
      </c>
      <c r="J70" s="20">
        <v>846</v>
      </c>
      <c r="K70" s="19">
        <v>1073</v>
      </c>
      <c r="L70" s="19">
        <v>1164</v>
      </c>
    </row>
    <row r="71" spans="2:12" ht="15.75" thickBot="1" x14ac:dyDescent="0.3">
      <c r="B71" s="18" t="s">
        <v>114</v>
      </c>
      <c r="C71" s="19">
        <v>1308</v>
      </c>
      <c r="D71" s="20">
        <v>884</v>
      </c>
      <c r="E71" s="19">
        <v>1361</v>
      </c>
      <c r="F71" s="19">
        <v>1125</v>
      </c>
      <c r="G71" s="20">
        <v>865</v>
      </c>
      <c r="H71" s="19">
        <v>1338</v>
      </c>
      <c r="I71" s="19">
        <v>1705</v>
      </c>
      <c r="J71" s="19">
        <v>1287</v>
      </c>
      <c r="K71" s="19">
        <v>1500</v>
      </c>
      <c r="L71" s="19">
        <v>1932</v>
      </c>
    </row>
    <row r="72" spans="2:12" ht="15.75" thickBot="1" x14ac:dyDescent="0.3">
      <c r="B72" s="18" t="s">
        <v>115</v>
      </c>
      <c r="C72" s="19">
        <v>1581</v>
      </c>
      <c r="D72" s="19">
        <v>1280</v>
      </c>
      <c r="E72" s="19">
        <v>1590</v>
      </c>
      <c r="F72" s="19">
        <v>1349</v>
      </c>
      <c r="G72" s="19">
        <v>1220</v>
      </c>
      <c r="H72" s="20">
        <v>773</v>
      </c>
      <c r="I72" s="20">
        <v>912</v>
      </c>
      <c r="J72" s="20">
        <v>751</v>
      </c>
      <c r="K72" s="20">
        <v>878</v>
      </c>
      <c r="L72" s="20">
        <v>972</v>
      </c>
    </row>
    <row r="73" spans="2:12" ht="15.75" thickBot="1" x14ac:dyDescent="0.3">
      <c r="B73" s="18" t="s">
        <v>116</v>
      </c>
      <c r="C73" s="19">
        <v>1352</v>
      </c>
      <c r="D73" s="20">
        <v>946</v>
      </c>
      <c r="E73" s="19">
        <v>1413</v>
      </c>
      <c r="F73" s="19">
        <v>1174</v>
      </c>
      <c r="G73" s="20">
        <v>917</v>
      </c>
      <c r="H73" s="19">
        <v>1299</v>
      </c>
      <c r="I73" s="19">
        <v>1663</v>
      </c>
      <c r="J73" s="19">
        <v>1245</v>
      </c>
      <c r="K73" s="19">
        <v>1451</v>
      </c>
      <c r="L73" s="19">
        <v>1882</v>
      </c>
    </row>
    <row r="74" spans="2:12" ht="15.75" thickBot="1" x14ac:dyDescent="0.3">
      <c r="B74" s="18" t="s">
        <v>117</v>
      </c>
      <c r="C74" s="19">
        <v>1637</v>
      </c>
      <c r="D74" s="19">
        <v>1385</v>
      </c>
      <c r="E74" s="19">
        <v>1637</v>
      </c>
      <c r="F74" s="19">
        <v>1434</v>
      </c>
      <c r="G74" s="19">
        <v>1322</v>
      </c>
      <c r="H74" s="19">
        <v>1341</v>
      </c>
      <c r="I74" s="19">
        <v>1633</v>
      </c>
      <c r="J74" s="19">
        <v>1245</v>
      </c>
      <c r="K74" s="19">
        <v>1492</v>
      </c>
      <c r="L74" s="19">
        <v>1818</v>
      </c>
    </row>
    <row r="75" spans="2:12" ht="15.75" thickBot="1" x14ac:dyDescent="0.3">
      <c r="B75" s="18" t="s">
        <v>122</v>
      </c>
      <c r="C75" s="20">
        <v>987</v>
      </c>
      <c r="D75" s="20">
        <v>870</v>
      </c>
      <c r="E75" s="19">
        <v>1001</v>
      </c>
      <c r="F75" s="20">
        <v>893</v>
      </c>
      <c r="G75" s="20">
        <v>837</v>
      </c>
      <c r="H75" s="19">
        <v>1296</v>
      </c>
      <c r="I75" s="19">
        <v>1465</v>
      </c>
      <c r="J75" s="19">
        <v>1281</v>
      </c>
      <c r="K75" s="19">
        <v>1477</v>
      </c>
      <c r="L75" s="19">
        <v>1574</v>
      </c>
    </row>
    <row r="76" spans="2:12" ht="15.75" thickBot="1" x14ac:dyDescent="0.3">
      <c r="B76" s="18" t="s">
        <v>121</v>
      </c>
      <c r="C76" s="20">
        <v>987</v>
      </c>
      <c r="D76" s="20">
        <v>870</v>
      </c>
      <c r="E76" s="19">
        <v>1001</v>
      </c>
      <c r="F76" s="20">
        <v>893</v>
      </c>
      <c r="G76" s="20">
        <v>837</v>
      </c>
      <c r="H76" s="19">
        <v>1296</v>
      </c>
      <c r="I76" s="19">
        <v>1465</v>
      </c>
      <c r="J76" s="19">
        <v>1281</v>
      </c>
      <c r="K76" s="19">
        <v>1477</v>
      </c>
      <c r="L76" s="19">
        <v>1574</v>
      </c>
    </row>
    <row r="77" spans="2:12" ht="15.75" thickBot="1" x14ac:dyDescent="0.3">
      <c r="B77" s="18" t="s">
        <v>124</v>
      </c>
      <c r="C77" s="20">
        <v>867</v>
      </c>
      <c r="D77" s="20">
        <v>759</v>
      </c>
      <c r="E77" s="20">
        <v>892</v>
      </c>
      <c r="F77" s="20">
        <v>792</v>
      </c>
      <c r="G77" s="20">
        <v>701</v>
      </c>
      <c r="H77" s="20">
        <v>957</v>
      </c>
      <c r="I77" s="19">
        <v>1149</v>
      </c>
      <c r="J77" s="20">
        <v>958</v>
      </c>
      <c r="K77" s="19">
        <v>1122</v>
      </c>
      <c r="L77" s="19">
        <v>1270</v>
      </c>
    </row>
    <row r="78" spans="2:12" ht="15.75" thickBot="1" x14ac:dyDescent="0.3">
      <c r="B78" s="18" t="s">
        <v>119</v>
      </c>
      <c r="C78" s="20">
        <v>967</v>
      </c>
      <c r="D78" s="20">
        <v>854</v>
      </c>
      <c r="E78" s="20">
        <v>971</v>
      </c>
      <c r="F78" s="20">
        <v>876</v>
      </c>
      <c r="G78" s="20">
        <v>804</v>
      </c>
      <c r="H78" s="19">
        <v>1433</v>
      </c>
      <c r="I78" s="19">
        <v>1644</v>
      </c>
      <c r="J78" s="19">
        <v>1411</v>
      </c>
      <c r="K78" s="19">
        <v>1632</v>
      </c>
      <c r="L78" s="19">
        <v>1793</v>
      </c>
    </row>
    <row r="79" spans="2:12" ht="15.75" thickBot="1" x14ac:dyDescent="0.3">
      <c r="B79" s="18" t="s">
        <v>139</v>
      </c>
      <c r="C79" s="20">
        <v>954</v>
      </c>
      <c r="D79" s="20">
        <v>916</v>
      </c>
      <c r="E79" s="20">
        <v>826</v>
      </c>
      <c r="F79" s="20">
        <v>667</v>
      </c>
      <c r="G79" s="20">
        <v>664</v>
      </c>
      <c r="H79" s="20">
        <v>947</v>
      </c>
      <c r="I79" s="20">
        <v>989</v>
      </c>
      <c r="J79" s="19">
        <v>1090</v>
      </c>
      <c r="K79" s="19">
        <v>1302</v>
      </c>
      <c r="L79" s="19">
        <v>1076</v>
      </c>
    </row>
    <row r="80" spans="2:12" ht="15.75" thickBot="1" x14ac:dyDescent="0.3">
      <c r="B80" s="18" t="s">
        <v>125</v>
      </c>
      <c r="C80" s="20">
        <v>480</v>
      </c>
      <c r="D80" s="20">
        <v>352</v>
      </c>
      <c r="E80" s="20">
        <v>501</v>
      </c>
      <c r="F80" s="20">
        <v>407</v>
      </c>
      <c r="G80" s="20">
        <v>347</v>
      </c>
      <c r="H80" s="20">
        <v>379</v>
      </c>
      <c r="I80" s="20">
        <v>429</v>
      </c>
      <c r="J80" s="20">
        <v>371</v>
      </c>
      <c r="K80" s="20">
        <v>423</v>
      </c>
      <c r="L80" s="20">
        <v>576</v>
      </c>
    </row>
    <row r="81" spans="2:12" ht="15.75" thickBot="1" x14ac:dyDescent="0.3">
      <c r="B81" s="18" t="s">
        <v>127</v>
      </c>
      <c r="C81" s="22">
        <v>787</v>
      </c>
      <c r="D81" s="22">
        <v>797</v>
      </c>
      <c r="E81" s="22">
        <v>671</v>
      </c>
      <c r="F81" s="22">
        <v>811</v>
      </c>
      <c r="G81" s="22">
        <v>820</v>
      </c>
      <c r="H81" s="20">
        <v>768</v>
      </c>
      <c r="I81" s="20">
        <v>761</v>
      </c>
      <c r="J81" s="19">
        <v>1034</v>
      </c>
      <c r="K81" s="19">
        <v>1110</v>
      </c>
      <c r="L81" s="20">
        <v>994</v>
      </c>
    </row>
    <row r="82" spans="2:12" ht="15.75" thickBot="1" x14ac:dyDescent="0.3">
      <c r="B82" s="18" t="s">
        <v>128</v>
      </c>
      <c r="C82" s="19">
        <v>1286</v>
      </c>
      <c r="D82" s="19">
        <v>1185</v>
      </c>
      <c r="E82" s="19">
        <v>1279</v>
      </c>
      <c r="F82" s="19">
        <v>1138</v>
      </c>
      <c r="G82" s="19">
        <v>1078</v>
      </c>
      <c r="H82" s="20">
        <v>806</v>
      </c>
      <c r="I82" s="20">
        <v>924</v>
      </c>
      <c r="J82" s="20">
        <v>796</v>
      </c>
      <c r="K82" s="20">
        <v>939</v>
      </c>
      <c r="L82" s="19">
        <v>1027</v>
      </c>
    </row>
    <row r="83" spans="2:12" ht="15.75" thickBot="1" x14ac:dyDescent="0.3">
      <c r="B83" s="18" t="s">
        <v>129</v>
      </c>
      <c r="C83" s="20">
        <v>973</v>
      </c>
      <c r="D83" s="20">
        <v>867</v>
      </c>
      <c r="E83" s="20">
        <v>972</v>
      </c>
      <c r="F83" s="20">
        <v>857</v>
      </c>
      <c r="G83" s="20">
        <v>777</v>
      </c>
      <c r="H83" s="20">
        <v>722</v>
      </c>
      <c r="I83" s="20">
        <v>789</v>
      </c>
      <c r="J83" s="20">
        <v>667</v>
      </c>
      <c r="K83" s="20">
        <v>834</v>
      </c>
      <c r="L83" s="20">
        <v>911</v>
      </c>
    </row>
    <row r="84" spans="2:12" ht="15.75" thickBot="1" x14ac:dyDescent="0.3">
      <c r="B84" s="18" t="s">
        <v>130</v>
      </c>
      <c r="C84" s="19">
        <v>1413</v>
      </c>
      <c r="D84" s="19">
        <v>1390</v>
      </c>
      <c r="E84" s="19">
        <v>1398</v>
      </c>
      <c r="F84" s="19">
        <v>1298</v>
      </c>
      <c r="G84" s="19">
        <v>1290</v>
      </c>
      <c r="H84" s="20">
        <v>389</v>
      </c>
      <c r="I84" s="20">
        <v>522</v>
      </c>
      <c r="J84" s="20">
        <v>408</v>
      </c>
      <c r="K84" s="20">
        <v>527</v>
      </c>
      <c r="L84" s="20">
        <v>567</v>
      </c>
    </row>
    <row r="85" spans="2:12" ht="15.75" thickBot="1" x14ac:dyDescent="0.3">
      <c r="B85" s="18" t="s">
        <v>131</v>
      </c>
      <c r="C85" s="19">
        <v>1133</v>
      </c>
      <c r="D85" s="19">
        <v>1064</v>
      </c>
      <c r="E85" s="19">
        <v>1091</v>
      </c>
      <c r="F85" s="20">
        <v>982</v>
      </c>
      <c r="G85" s="20">
        <v>960</v>
      </c>
      <c r="H85" s="54">
        <v>984</v>
      </c>
      <c r="I85" s="55">
        <v>1045</v>
      </c>
      <c r="J85" s="55">
        <v>1047</v>
      </c>
      <c r="K85" s="55">
        <v>1177</v>
      </c>
      <c r="L85" s="55">
        <v>1176</v>
      </c>
    </row>
    <row r="86" spans="2:12" x14ac:dyDescent="0.25">
      <c r="H86" s="52"/>
      <c r="I86" s="53"/>
      <c r="J86" s="53"/>
      <c r="K86" s="53"/>
      <c r="L86" s="53"/>
    </row>
    <row r="93" spans="2:12" x14ac:dyDescent="0.25">
      <c r="B93" s="57" t="s">
        <v>191</v>
      </c>
      <c r="I93" t="s">
        <v>224</v>
      </c>
    </row>
    <row r="124" spans="2:9" x14ac:dyDescent="0.25">
      <c r="B124" s="57" t="s">
        <v>192</v>
      </c>
      <c r="I124" t="s">
        <v>224</v>
      </c>
    </row>
    <row r="156" spans="2:9" x14ac:dyDescent="0.25">
      <c r="B156" s="57" t="s">
        <v>193</v>
      </c>
      <c r="I156" t="s">
        <v>224</v>
      </c>
    </row>
    <row r="175" spans="2:9" x14ac:dyDescent="0.25">
      <c r="B175" s="57" t="s">
        <v>194</v>
      </c>
      <c r="I175" t="s">
        <v>224</v>
      </c>
    </row>
    <row r="189" spans="2:9" x14ac:dyDescent="0.25">
      <c r="B189" s="57" t="s">
        <v>195</v>
      </c>
      <c r="I189" t="s">
        <v>224</v>
      </c>
    </row>
    <row r="206" spans="2:9" x14ac:dyDescent="0.25">
      <c r="B206" s="57" t="s">
        <v>196</v>
      </c>
      <c r="I206" t="s">
        <v>225</v>
      </c>
    </row>
    <row r="218" spans="9:13" x14ac:dyDescent="0.25">
      <c r="I218" t="s">
        <v>226</v>
      </c>
      <c r="J218" t="s">
        <v>228</v>
      </c>
      <c r="K218" t="s">
        <v>235</v>
      </c>
      <c r="L218">
        <v>18</v>
      </c>
      <c r="M218" t="s">
        <v>247</v>
      </c>
    </row>
    <row r="219" spans="9:13" x14ac:dyDescent="0.25">
      <c r="J219" t="s">
        <v>229</v>
      </c>
      <c r="K219" t="s">
        <v>235</v>
      </c>
      <c r="L219">
        <v>16.3</v>
      </c>
      <c r="M219" t="s">
        <v>247</v>
      </c>
    </row>
    <row r="220" spans="9:13" x14ac:dyDescent="0.25">
      <c r="I220" t="s">
        <v>227</v>
      </c>
      <c r="J220" t="s">
        <v>228</v>
      </c>
      <c r="K220" t="s">
        <v>232</v>
      </c>
      <c r="L220">
        <v>12.2</v>
      </c>
      <c r="M220" t="s">
        <v>247</v>
      </c>
    </row>
    <row r="221" spans="9:13" x14ac:dyDescent="0.25">
      <c r="K221" t="s">
        <v>233</v>
      </c>
      <c r="L221">
        <v>13</v>
      </c>
      <c r="M221" t="s">
        <v>247</v>
      </c>
    </row>
    <row r="222" spans="9:13" x14ac:dyDescent="0.25">
      <c r="K222" t="s">
        <v>234</v>
      </c>
      <c r="L222">
        <v>13</v>
      </c>
      <c r="M222" t="s">
        <v>247</v>
      </c>
    </row>
    <row r="223" spans="9:13" x14ac:dyDescent="0.25">
      <c r="J223" t="s">
        <v>230</v>
      </c>
      <c r="K223" t="s">
        <v>235</v>
      </c>
      <c r="L223">
        <v>14.1</v>
      </c>
      <c r="M223" t="s">
        <v>247</v>
      </c>
    </row>
    <row r="224" spans="9:13" x14ac:dyDescent="0.25">
      <c r="J224" t="s">
        <v>229</v>
      </c>
      <c r="K224" t="s">
        <v>235</v>
      </c>
      <c r="L224">
        <v>10.6</v>
      </c>
      <c r="M224" t="s">
        <v>247</v>
      </c>
    </row>
    <row r="225" spans="2:14" x14ac:dyDescent="0.25">
      <c r="J225" t="s">
        <v>231</v>
      </c>
      <c r="K225" t="s">
        <v>235</v>
      </c>
      <c r="L225">
        <v>12.1</v>
      </c>
      <c r="M225" t="s">
        <v>247</v>
      </c>
    </row>
    <row r="235" spans="2:14" x14ac:dyDescent="0.25">
      <c r="B235" s="58" t="s">
        <v>197</v>
      </c>
      <c r="I235" t="s">
        <v>246</v>
      </c>
    </row>
    <row r="236" spans="2:14" x14ac:dyDescent="0.25">
      <c r="I236" s="8" t="s">
        <v>302</v>
      </c>
      <c r="J236" s="8" t="s">
        <v>250</v>
      </c>
      <c r="K236" s="8" t="s">
        <v>248</v>
      </c>
      <c r="L236" s="8">
        <v>8.1999999999999993</v>
      </c>
      <c r="M236" s="59" t="s">
        <v>328</v>
      </c>
    </row>
    <row r="237" spans="2:14" x14ac:dyDescent="0.25">
      <c r="I237" s="8" t="s">
        <v>302</v>
      </c>
      <c r="J237" s="8" t="s">
        <v>249</v>
      </c>
      <c r="K237" s="8" t="s">
        <v>248</v>
      </c>
      <c r="L237" s="8">
        <v>8</v>
      </c>
      <c r="M237" s="59" t="s">
        <v>328</v>
      </c>
    </row>
    <row r="238" spans="2:14" x14ac:dyDescent="0.25">
      <c r="I238" s="8" t="s">
        <v>305</v>
      </c>
      <c r="J238" s="8" t="s">
        <v>250</v>
      </c>
      <c r="K238" s="8" t="s">
        <v>303</v>
      </c>
      <c r="L238" s="8">
        <v>7.4</v>
      </c>
      <c r="M238" s="59" t="s">
        <v>328</v>
      </c>
      <c r="N238" s="99" t="s">
        <v>335</v>
      </c>
    </row>
    <row r="239" spans="2:14" x14ac:dyDescent="0.25">
      <c r="I239" s="8" t="s">
        <v>305</v>
      </c>
      <c r="J239" s="8" t="s">
        <v>304</v>
      </c>
      <c r="K239" s="8" t="s">
        <v>303</v>
      </c>
      <c r="L239" s="8">
        <v>7.4</v>
      </c>
      <c r="M239" s="59" t="s">
        <v>328</v>
      </c>
      <c r="N239" t="s">
        <v>332</v>
      </c>
    </row>
    <row r="240" spans="2:14" x14ac:dyDescent="0.25">
      <c r="I240" s="8" t="s">
        <v>306</v>
      </c>
      <c r="J240" s="8"/>
      <c r="K240" s="8" t="s">
        <v>248</v>
      </c>
      <c r="L240" s="8">
        <v>6.8</v>
      </c>
      <c r="M240" s="59" t="s">
        <v>328</v>
      </c>
      <c r="N240" t="s">
        <v>333</v>
      </c>
    </row>
    <row r="241" spans="9:13" x14ac:dyDescent="0.25">
      <c r="I241" s="8" t="s">
        <v>302</v>
      </c>
      <c r="J241" s="8" t="s">
        <v>332</v>
      </c>
      <c r="K241" s="8" t="s">
        <v>234</v>
      </c>
      <c r="L241" s="8">
        <v>3.3</v>
      </c>
      <c r="M241" s="59" t="s">
        <v>329</v>
      </c>
    </row>
    <row r="242" spans="9:13" x14ac:dyDescent="0.25">
      <c r="I242" s="8" t="s">
        <v>302</v>
      </c>
      <c r="J242" s="8" t="s">
        <v>333</v>
      </c>
      <c r="K242" s="8" t="s">
        <v>234</v>
      </c>
      <c r="L242" s="8">
        <v>2.25</v>
      </c>
      <c r="M242" s="59" t="s">
        <v>329</v>
      </c>
    </row>
    <row r="243" spans="9:13" x14ac:dyDescent="0.25">
      <c r="I243" s="8" t="s">
        <v>302</v>
      </c>
      <c r="J243" s="8" t="s">
        <v>332</v>
      </c>
      <c r="K243" s="8" t="s">
        <v>330</v>
      </c>
      <c r="L243" s="8">
        <v>3.2</v>
      </c>
      <c r="M243" s="59" t="s">
        <v>329</v>
      </c>
    </row>
    <row r="244" spans="9:13" x14ac:dyDescent="0.25">
      <c r="I244" s="8" t="s">
        <v>302</v>
      </c>
      <c r="J244" s="8" t="s">
        <v>333</v>
      </c>
      <c r="K244" s="8" t="s">
        <v>330</v>
      </c>
      <c r="L244" s="8">
        <v>2.0499999999999998</v>
      </c>
      <c r="M244" s="59" t="s">
        <v>329</v>
      </c>
    </row>
    <row r="246" spans="9:13" x14ac:dyDescent="0.25">
      <c r="I246" s="8" t="s">
        <v>226</v>
      </c>
      <c r="J246" s="8" t="s">
        <v>228</v>
      </c>
      <c r="K246" s="8" t="s">
        <v>235</v>
      </c>
      <c r="L246" s="8">
        <v>3.7</v>
      </c>
      <c r="M246" s="8" t="s">
        <v>329</v>
      </c>
    </row>
    <row r="247" spans="9:13" x14ac:dyDescent="0.25">
      <c r="I247" s="8"/>
      <c r="J247" s="8" t="s">
        <v>229</v>
      </c>
      <c r="K247" s="8" t="s">
        <v>235</v>
      </c>
      <c r="L247" s="8">
        <v>3.1</v>
      </c>
      <c r="M247" s="8" t="s">
        <v>329</v>
      </c>
    </row>
    <row r="248" spans="9:13" x14ac:dyDescent="0.25">
      <c r="I248" s="8" t="s">
        <v>227</v>
      </c>
      <c r="J248" s="8" t="s">
        <v>228</v>
      </c>
      <c r="K248" s="8" t="s">
        <v>232</v>
      </c>
      <c r="L248" s="8">
        <v>4.3</v>
      </c>
      <c r="M248" s="8" t="s">
        <v>329</v>
      </c>
    </row>
    <row r="249" spans="9:13" x14ac:dyDescent="0.25">
      <c r="I249" s="8"/>
      <c r="J249" s="8" t="s">
        <v>230</v>
      </c>
      <c r="K249" s="8" t="s">
        <v>235</v>
      </c>
      <c r="L249" s="8">
        <v>3.2</v>
      </c>
      <c r="M249" s="8" t="s">
        <v>329</v>
      </c>
    </row>
    <row r="250" spans="9:13" x14ac:dyDescent="0.25">
      <c r="I250" s="8"/>
      <c r="J250" s="8" t="s">
        <v>229</v>
      </c>
      <c r="K250" s="8" t="s">
        <v>235</v>
      </c>
      <c r="L250" s="8">
        <v>3.7</v>
      </c>
      <c r="M250" s="8" t="s">
        <v>329</v>
      </c>
    </row>
    <row r="251" spans="9:13" x14ac:dyDescent="0.25">
      <c r="I251" s="8"/>
      <c r="J251" s="8" t="s">
        <v>231</v>
      </c>
      <c r="K251" s="8" t="s">
        <v>235</v>
      </c>
      <c r="L251" s="8">
        <v>2.5</v>
      </c>
      <c r="M251" s="8" t="s">
        <v>329</v>
      </c>
    </row>
    <row r="259" spans="2:18" x14ac:dyDescent="0.25">
      <c r="B259" s="57" t="s">
        <v>198</v>
      </c>
    </row>
    <row r="261" spans="2:18" x14ac:dyDescent="0.25">
      <c r="J261" s="324" t="s">
        <v>289</v>
      </c>
      <c r="K261" s="324"/>
      <c r="L261" s="324"/>
      <c r="M261" s="324"/>
    </row>
    <row r="262" spans="2:18" x14ac:dyDescent="0.25">
      <c r="J262" t="s">
        <v>271</v>
      </c>
      <c r="K262" t="s">
        <v>272</v>
      </c>
      <c r="L262" t="s">
        <v>273</v>
      </c>
      <c r="M262" t="s">
        <v>274</v>
      </c>
      <c r="O262" t="s">
        <v>290</v>
      </c>
    </row>
    <row r="263" spans="2:18" x14ac:dyDescent="0.25">
      <c r="J263">
        <v>2</v>
      </c>
      <c r="K263">
        <v>3</v>
      </c>
      <c r="L263">
        <v>4</v>
      </c>
      <c r="M263">
        <v>5</v>
      </c>
      <c r="O263" t="str">
        <f>lookups!G98</f>
        <v>Path B IPLV</v>
      </c>
    </row>
    <row r="264" spans="2:18" x14ac:dyDescent="0.25">
      <c r="I264" t="s">
        <v>276</v>
      </c>
      <c r="J264">
        <v>10.1</v>
      </c>
      <c r="K264">
        <v>13.7</v>
      </c>
      <c r="L264">
        <v>9.6999999999999993</v>
      </c>
      <c r="M264">
        <v>15.8</v>
      </c>
      <c r="O264" s="41">
        <f>HLOOKUP(lookups!G98,Tables!J262:M263,2,FALSE)</f>
        <v>5</v>
      </c>
      <c r="P264" t="s">
        <v>422</v>
      </c>
    </row>
    <row r="265" spans="2:18" x14ac:dyDescent="0.25">
      <c r="I265" t="s">
        <v>284</v>
      </c>
      <c r="J265">
        <v>10.1</v>
      </c>
      <c r="K265">
        <v>14</v>
      </c>
      <c r="L265">
        <v>9.6999999999999993</v>
      </c>
      <c r="M265">
        <v>16.100000000000001</v>
      </c>
    </row>
    <row r="267" spans="2:18" x14ac:dyDescent="0.25">
      <c r="J267" s="3" t="s">
        <v>300</v>
      </c>
    </row>
    <row r="268" spans="2:18" x14ac:dyDescent="0.25">
      <c r="I268" t="s">
        <v>279</v>
      </c>
      <c r="J268">
        <f>12/O268</f>
        <v>16</v>
      </c>
      <c r="K268">
        <f t="shared" ref="K268:M272" si="0">12/P268</f>
        <v>17.39130434782609</v>
      </c>
      <c r="L268">
        <f t="shared" si="0"/>
        <v>15.384615384615383</v>
      </c>
      <c r="M268">
        <f t="shared" si="0"/>
        <v>24</v>
      </c>
      <c r="O268">
        <v>0.75</v>
      </c>
      <c r="P268">
        <v>0.69</v>
      </c>
      <c r="Q268">
        <v>0.78</v>
      </c>
      <c r="R268">
        <v>0.5</v>
      </c>
    </row>
    <row r="269" spans="2:18" x14ac:dyDescent="0.25">
      <c r="I269" t="s">
        <v>280</v>
      </c>
      <c r="J269">
        <f t="shared" ref="J269:J272" si="1">12/O269</f>
        <v>16.666666666666668</v>
      </c>
      <c r="K269">
        <f t="shared" si="0"/>
        <v>21.428571428571427</v>
      </c>
      <c r="L269">
        <f t="shared" si="0"/>
        <v>16</v>
      </c>
      <c r="M269">
        <f t="shared" si="0"/>
        <v>24.489795918367346</v>
      </c>
      <c r="O269">
        <v>0.72</v>
      </c>
      <c r="P269">
        <v>0.56000000000000005</v>
      </c>
      <c r="Q269">
        <v>0.75</v>
      </c>
      <c r="R269">
        <v>0.49</v>
      </c>
    </row>
    <row r="270" spans="2:18" x14ac:dyDescent="0.25">
      <c r="I270" t="s">
        <v>281</v>
      </c>
      <c r="J270">
        <f t="shared" si="1"/>
        <v>18.18181818181818</v>
      </c>
      <c r="K270">
        <f t="shared" si="0"/>
        <v>22.222222222222221</v>
      </c>
      <c r="L270">
        <f t="shared" si="0"/>
        <v>17.647058823529409</v>
      </c>
      <c r="M270">
        <f t="shared" si="0"/>
        <v>27.272727272727273</v>
      </c>
      <c r="O270">
        <v>0.66</v>
      </c>
      <c r="P270">
        <v>0.54</v>
      </c>
      <c r="Q270">
        <v>0.68</v>
      </c>
      <c r="R270">
        <v>0.44</v>
      </c>
    </row>
    <row r="271" spans="2:18" x14ac:dyDescent="0.25">
      <c r="I271" t="s">
        <v>282</v>
      </c>
      <c r="J271">
        <f t="shared" si="1"/>
        <v>19.672131147540984</v>
      </c>
      <c r="K271">
        <f t="shared" si="0"/>
        <v>23.076923076923077</v>
      </c>
      <c r="L271">
        <f t="shared" si="0"/>
        <v>19.2</v>
      </c>
      <c r="M271">
        <f t="shared" si="0"/>
        <v>29.26829268292683</v>
      </c>
      <c r="O271">
        <v>0.61</v>
      </c>
      <c r="P271">
        <v>0.52</v>
      </c>
      <c r="Q271">
        <v>0.625</v>
      </c>
      <c r="R271">
        <v>0.41</v>
      </c>
    </row>
    <row r="272" spans="2:18" x14ac:dyDescent="0.25">
      <c r="I272" t="s">
        <v>283</v>
      </c>
      <c r="J272">
        <f t="shared" si="1"/>
        <v>21.428571428571427</v>
      </c>
      <c r="K272">
        <f t="shared" si="0"/>
        <v>24</v>
      </c>
      <c r="L272">
        <f t="shared" si="0"/>
        <v>20.512820512820515</v>
      </c>
      <c r="M272">
        <f t="shared" si="0"/>
        <v>31.578947368421051</v>
      </c>
      <c r="O272">
        <v>0.56000000000000005</v>
      </c>
      <c r="P272">
        <v>0.5</v>
      </c>
      <c r="Q272">
        <v>0.58499999999999996</v>
      </c>
      <c r="R272">
        <v>0.38</v>
      </c>
    </row>
    <row r="274" spans="9:18" x14ac:dyDescent="0.25">
      <c r="I274" t="s">
        <v>285</v>
      </c>
      <c r="J274">
        <f>12/O274</f>
        <v>19.672131147540984</v>
      </c>
      <c r="K274">
        <f t="shared" ref="K274:M278" si="2">12/P274</f>
        <v>21.818181818181817</v>
      </c>
      <c r="L274">
        <f t="shared" si="2"/>
        <v>17.266187050359715</v>
      </c>
      <c r="M274">
        <f t="shared" si="2"/>
        <v>27.272727272727273</v>
      </c>
      <c r="O274">
        <v>0.61</v>
      </c>
      <c r="P274">
        <v>0.55000000000000004</v>
      </c>
      <c r="Q274">
        <v>0.69499999999999995</v>
      </c>
      <c r="R274">
        <v>0.44</v>
      </c>
    </row>
    <row r="275" spans="9:18" x14ac:dyDescent="0.25">
      <c r="I275" t="s">
        <v>286</v>
      </c>
      <c r="J275">
        <f t="shared" ref="J275:J278" si="3">12/O275</f>
        <v>19.672131147540984</v>
      </c>
      <c r="K275">
        <f t="shared" si="2"/>
        <v>21.818181818181817</v>
      </c>
      <c r="L275">
        <f t="shared" si="2"/>
        <v>18.897637795275589</v>
      </c>
      <c r="M275">
        <f t="shared" si="2"/>
        <v>30</v>
      </c>
      <c r="O275">
        <v>0.61</v>
      </c>
      <c r="P275">
        <v>0.55000000000000004</v>
      </c>
      <c r="Q275">
        <v>0.63500000000000001</v>
      </c>
      <c r="R275">
        <v>0.4</v>
      </c>
    </row>
    <row r="276" spans="9:18" x14ac:dyDescent="0.25">
      <c r="I276" t="s">
        <v>287</v>
      </c>
      <c r="J276">
        <f t="shared" si="3"/>
        <v>21.428571428571427</v>
      </c>
      <c r="K276">
        <f t="shared" si="2"/>
        <v>23.076923076923077</v>
      </c>
      <c r="L276">
        <f t="shared" si="2"/>
        <v>20.168067226890756</v>
      </c>
      <c r="M276">
        <f t="shared" si="2"/>
        <v>30.769230769230766</v>
      </c>
      <c r="O276">
        <v>0.56000000000000005</v>
      </c>
      <c r="P276">
        <v>0.52</v>
      </c>
      <c r="Q276">
        <v>0.59499999999999997</v>
      </c>
      <c r="R276">
        <v>0.39</v>
      </c>
    </row>
    <row r="277" spans="9:18" x14ac:dyDescent="0.25">
      <c r="I277" t="s">
        <v>295</v>
      </c>
      <c r="J277">
        <f t="shared" si="3"/>
        <v>21.428571428571427</v>
      </c>
      <c r="K277">
        <f t="shared" si="2"/>
        <v>24</v>
      </c>
      <c r="L277">
        <f t="shared" si="2"/>
        <v>20.512820512820515</v>
      </c>
      <c r="M277">
        <f t="shared" si="2"/>
        <v>31.578947368421051</v>
      </c>
      <c r="O277">
        <v>0.56000000000000005</v>
      </c>
      <c r="P277">
        <v>0.5</v>
      </c>
      <c r="Q277">
        <v>0.58499999999999996</v>
      </c>
      <c r="R277">
        <v>0.38</v>
      </c>
    </row>
    <row r="278" spans="9:18" x14ac:dyDescent="0.25">
      <c r="I278" t="s">
        <v>288</v>
      </c>
      <c r="J278">
        <f t="shared" si="3"/>
        <v>21.428571428571427</v>
      </c>
      <c r="K278">
        <f t="shared" si="2"/>
        <v>24</v>
      </c>
      <c r="L278">
        <f t="shared" si="2"/>
        <v>20.512820512820515</v>
      </c>
      <c r="M278">
        <f t="shared" si="2"/>
        <v>31.578947368421051</v>
      </c>
      <c r="O278">
        <v>0.56000000000000005</v>
      </c>
      <c r="P278">
        <v>0.5</v>
      </c>
      <c r="Q278">
        <v>0.58499999999999996</v>
      </c>
      <c r="R278">
        <v>0.38</v>
      </c>
    </row>
    <row r="295" spans="2:16" x14ac:dyDescent="0.25">
      <c r="B295" s="57" t="s">
        <v>199</v>
      </c>
    </row>
    <row r="297" spans="2:16" x14ac:dyDescent="0.25">
      <c r="O297" t="e">
        <f>VLOOKUP(lookups!C156,Tables!N300:O305,2,FALSE)</f>
        <v>#N/A</v>
      </c>
      <c r="P297" t="s">
        <v>422</v>
      </c>
    </row>
    <row r="299" spans="2:16" x14ac:dyDescent="0.25">
      <c r="J299">
        <v>2</v>
      </c>
      <c r="K299">
        <v>3</v>
      </c>
      <c r="L299">
        <v>4</v>
      </c>
    </row>
    <row r="300" spans="2:16" x14ac:dyDescent="0.25">
      <c r="I300" t="s">
        <v>398</v>
      </c>
      <c r="J300" s="1">
        <v>0.82</v>
      </c>
      <c r="K300" s="1">
        <v>0.8</v>
      </c>
      <c r="L300" s="1">
        <v>0.82</v>
      </c>
      <c r="N300" t="s">
        <v>405</v>
      </c>
      <c r="O300" s="127">
        <v>2</v>
      </c>
    </row>
    <row r="301" spans="2:16" x14ac:dyDescent="0.25">
      <c r="I301" t="s">
        <v>399</v>
      </c>
      <c r="J301" s="1">
        <v>0.84</v>
      </c>
      <c r="K301" s="1">
        <v>0.82</v>
      </c>
      <c r="L301" s="1">
        <v>0.84</v>
      </c>
      <c r="N301" t="s">
        <v>406</v>
      </c>
      <c r="O301" s="127">
        <v>3</v>
      </c>
    </row>
    <row r="302" spans="2:16" x14ac:dyDescent="0.25">
      <c r="I302" t="s">
        <v>400</v>
      </c>
      <c r="J302" s="1">
        <v>0.8</v>
      </c>
      <c r="N302" t="s">
        <v>407</v>
      </c>
      <c r="O302">
        <v>4</v>
      </c>
    </row>
    <row r="303" spans="2:16" x14ac:dyDescent="0.25">
      <c r="I303" s="114" t="s">
        <v>401</v>
      </c>
      <c r="J303" s="134">
        <v>0.82</v>
      </c>
      <c r="K303" s="134">
        <v>0.81</v>
      </c>
      <c r="L303" s="134">
        <v>0.81</v>
      </c>
      <c r="M303" s="114"/>
      <c r="N303" s="114"/>
      <c r="O303" s="114"/>
      <c r="P303" s="114"/>
    </row>
    <row r="304" spans="2:16" x14ac:dyDescent="0.25">
      <c r="I304" t="s">
        <v>403</v>
      </c>
      <c r="J304" s="1">
        <v>0.8</v>
      </c>
      <c r="K304" s="1">
        <v>0.8</v>
      </c>
      <c r="N304" t="s">
        <v>408</v>
      </c>
      <c r="O304">
        <v>2</v>
      </c>
    </row>
    <row r="305" spans="2:15" x14ac:dyDescent="0.25">
      <c r="I305" t="s">
        <v>402</v>
      </c>
      <c r="J305" s="1">
        <v>0.83</v>
      </c>
      <c r="K305" s="1">
        <v>0.81</v>
      </c>
      <c r="N305" t="s">
        <v>409</v>
      </c>
      <c r="O305">
        <v>3</v>
      </c>
    </row>
    <row r="306" spans="2:15" x14ac:dyDescent="0.25">
      <c r="I306" t="s">
        <v>404</v>
      </c>
      <c r="J306" s="1">
        <v>0.8</v>
      </c>
      <c r="K306" s="1">
        <v>0.8</v>
      </c>
    </row>
    <row r="316" spans="2:15" x14ac:dyDescent="0.25">
      <c r="B316" s="57" t="s">
        <v>200</v>
      </c>
    </row>
    <row r="332" spans="2:2" x14ac:dyDescent="0.25">
      <c r="B332" s="57" t="s">
        <v>201</v>
      </c>
    </row>
  </sheetData>
  <sheetProtection algorithmName="SHA-512" hashValue="HhK72iYy00b4zcykg3sFpTed6ircJyd1D36fz82JvtsMC3MtUxntqbLxmvW/kioCco2QZnYgSa2kr4e09nHJJA==" saltValue="2vxQ/tlHH65uTIMKPjCg/A==" spinCount="100000" sheet="1" objects="1" scenarios="1" selectLockedCells="1" selectUnlockedCells="1"/>
  <mergeCells count="7">
    <mergeCell ref="J261:M261"/>
    <mergeCell ref="B12:B13"/>
    <mergeCell ref="C12:G12"/>
    <mergeCell ref="B54:B55"/>
    <mergeCell ref="C54:G54"/>
    <mergeCell ref="H12:L12"/>
    <mergeCell ref="H54:L5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Inputs</vt:lpstr>
      <vt:lpstr>Outputs-Savings</vt:lpstr>
      <vt:lpstr>lookups</vt:lpstr>
      <vt:lpstr>electric calculations</vt:lpstr>
      <vt:lpstr>gas calculations</vt:lpstr>
      <vt:lpstr>DHW calculations</vt:lpstr>
      <vt:lpstr>Tables</vt:lpstr>
      <vt:lpstr>Tables!_ftn1</vt:lpstr>
      <vt:lpstr>Tables!_ftn2</vt:lpstr>
      <vt:lpstr>Tables!_ftn3</vt:lpstr>
      <vt:lpstr>Tables!_ftnref1</vt:lpstr>
      <vt:lpstr>Tables!_ftnref2</vt:lpstr>
      <vt:lpstr>Tables!_ftnref3</vt:lpstr>
      <vt:lpstr>Tables!_Ref512966235</vt:lpstr>
      <vt:lpstr>Tables!_Ref512973997</vt:lpstr>
      <vt:lpstr>Tables!_Ref512974028</vt:lpstr>
    </vt:vector>
  </TitlesOfParts>
  <Company>GDS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Travis Hinck</dc:creator>
  <cp:lastModifiedBy>Travis Hinck</cp:lastModifiedBy>
  <dcterms:created xsi:type="dcterms:W3CDTF">2016-03-28T06:23:47Z</dcterms:created>
  <dcterms:modified xsi:type="dcterms:W3CDTF">2019-12-30T19:22:01Z</dcterms:modified>
</cp:coreProperties>
</file>