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omments4.xml" ContentType="application/vnd.openxmlformats-officedocument.spreadsheetml.comments+xml"/>
  <Override PartName="/xl/drawings/drawing8.xml" ContentType="application/vnd.openxmlformats-officedocument.drawing+xml"/>
  <Override PartName="/xl/comments5.xml" ContentType="application/vnd.openxmlformats-officedocument.spreadsheetml.comments+xml"/>
  <Override PartName="/xl/threadedComments/threadedComment1.xml" ContentType="application/vnd.ms-excel.threadedcomments+xml"/>
  <Override PartName="/xl/comments6.xml" ContentType="application/vnd.openxmlformats-officedocument.spreadsheetml.comments+xml"/>
  <Override PartName="/xl/threadedComments/threadedComment2.xml" ContentType="application/vnd.ms-excel.threadedcomments+xml"/>
  <Override PartName="/xl/comments7.xml" ContentType="application/vnd.openxmlformats-officedocument.spreadsheetml.comments+xml"/>
  <Override PartName="/xl/threadedComments/threadedComment3.xml" ContentType="application/vnd.ms-excel.threadedcomments+xml"/>
  <Override PartName="/xl/drawings/drawing9.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updateLinks="never" hidePivotFieldList="1" defaultThemeVersion="166925"/>
  <mc:AlternateContent xmlns:mc="http://schemas.openxmlformats.org/markup-compatibility/2006">
    <mc:Choice Requires="x15">
      <x15ac:absPath xmlns:x15ac="http://schemas.microsoft.com/office/spreadsheetml/2010/11/ac" url="C:\Users\designorc\OneDrive - Leidos-LeidosCorpUS\Desktop\Ameren IQ\PY24\Home Efficiency Workbook\"/>
    </mc:Choice>
  </mc:AlternateContent>
  <xr:revisionPtr revIDLastSave="0" documentId="13_ncr:1_{E50CC2A8-5641-49D1-90C1-FE0D44BBB528}" xr6:coauthVersionLast="47" xr6:coauthVersionMax="47" xr10:uidLastSave="{00000000-0000-0000-0000-000000000000}"/>
  <workbookProtection workbookAlgorithmName="SHA-512" workbookHashValue="H4VPOJg+mIcBP8F8nb/BXIeRTYRaacjYYRdYerXU4WrO8AT60QE9Q2YgFTJNhO0W7Orc/gYxmmvbTTeaJU0q+A==" workbookSaltValue="SCXVPocQx0iugiVcyV573w==" workbookSpinCount="100000" lockStructure="1"/>
  <bookViews>
    <workbookView xWindow="30612" yWindow="-108" windowWidth="23256" windowHeight="12456" activeTab="1" xr2:uid="{E74DA437-D970-456F-A7D7-E4124A591AC5}"/>
  </bookViews>
  <sheets>
    <sheet name="START HERE" sheetId="21" r:id="rId1"/>
    <sheet name="Project Information" sheetId="13" r:id="rId2"/>
    <sheet name="Work Scope" sheetId="14" r:id="rId3"/>
    <sheet name="Data Entry TR Review" sheetId="15" state="hidden" r:id="rId4"/>
    <sheet name="Project Score" sheetId="20" state="hidden" r:id="rId5"/>
    <sheet name="Electrification" sheetId="22" r:id="rId6"/>
    <sheet name="HVAC Tier 2 Incentive Table" sheetId="17" state="hidden" r:id="rId7"/>
    <sheet name="Ancillary Costs" sheetId="18" r:id="rId8"/>
    <sheet name="Disclaimer Form" sheetId="24" r:id="rId9"/>
    <sheet name="Measures" sheetId="12" state="hidden" r:id="rId10"/>
    <sheet name="Lists" sheetId="2" state="hidden" r:id="rId11"/>
    <sheet name="Test Form" sheetId="27" r:id="rId12"/>
    <sheet name="Old Test Form" sheetId="25" state="hidden" r:id="rId13"/>
    <sheet name="WH Bill Analysis" sheetId="28" r:id="rId14"/>
    <sheet name="Dashboard_FS" sheetId="29" state="hidden" r:id="rId15"/>
    <sheet name="Algorithms_FS" sheetId="30" state="hidden" r:id="rId16"/>
    <sheet name="Backup_FS" sheetId="31" state="hidden" r:id="rId17"/>
    <sheet name="WNCF Form" sheetId="19" r:id="rId18"/>
    <sheet name="HE-PY24 Pricing" sheetId="16" r:id="rId19"/>
    <sheet name="H&amp;S-PY24 Pricing" sheetId="23" r:id="rId20"/>
    <sheet name="Revisions" sheetId="26" state="hidden" r:id="rId21"/>
  </sheets>
  <externalReferences>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s>
  <definedNames>
    <definedName name="_xlnm._FilterDatabase" localSheetId="15" hidden="1">Algorithms_FS!$A$1:$J$910</definedName>
    <definedName name="AC" localSheetId="7">#REF!</definedName>
    <definedName name="AC" localSheetId="18">#REF!</definedName>
    <definedName name="AC" localSheetId="6">#REF!</definedName>
    <definedName name="AC" localSheetId="9">#REF!</definedName>
    <definedName name="AC">#REF!</definedName>
    <definedName name="AF" localSheetId="7">#REF!</definedName>
    <definedName name="AF" localSheetId="18">#REF!</definedName>
    <definedName name="AF" localSheetId="9">#REF!</definedName>
    <definedName name="AF">#REF!</definedName>
    <definedName name="AGcote" localSheetId="7">#REF!</definedName>
    <definedName name="AGcote" localSheetId="18">#REF!</definedName>
    <definedName name="AGcote">#REF!</definedName>
    <definedName name="AGF_Amt" localSheetId="7">#REF!</definedName>
    <definedName name="AGF_Amt" localSheetId="18">#REF!</definedName>
    <definedName name="AGF_Amt">#REF!</definedName>
    <definedName name="AGF_OB_Amt" localSheetId="7">#REF!</definedName>
    <definedName name="AGF_OB_Amt" localSheetId="18">#REF!</definedName>
    <definedName name="AGF_OB_Amt">#REF!</definedName>
    <definedName name="AHP_Amt" localSheetId="7">#REF!</definedName>
    <definedName name="AHP_Amt" localSheetId="18">#REF!</definedName>
    <definedName name="AHP_Amt">#REF!</definedName>
    <definedName name="All">[1]List!$E$27:$E$31</definedName>
    <definedName name="Alls" localSheetId="7">#REF!</definedName>
    <definedName name="Alls" localSheetId="18">#REF!</definedName>
    <definedName name="Alls" localSheetId="6">#REF!</definedName>
    <definedName name="Alls" localSheetId="9">#REF!</definedName>
    <definedName name="Alls">#REF!</definedName>
    <definedName name="Annual_Dollar_Savings" localSheetId="7">#REF!</definedName>
    <definedName name="Annual_Dollar_Savings" localSheetId="18">#REF!</definedName>
    <definedName name="Annual_Dollar_Savings" localSheetId="9">#REF!</definedName>
    <definedName name="Annual_Dollar_Savings">#REF!</definedName>
    <definedName name="ASHP">[1]List!$A$23:$A$27</definedName>
    <definedName name="ASHPNAs" localSheetId="7">#REF!</definedName>
    <definedName name="ASHPNAs" localSheetId="18">#REF!</definedName>
    <definedName name="ASHPNAs" localSheetId="6">#REF!</definedName>
    <definedName name="ASHPNAs" localSheetId="9">#REF!</definedName>
    <definedName name="ASHPNAs">#REF!</definedName>
    <definedName name="ASHPs" localSheetId="7">#REF!</definedName>
    <definedName name="ASHPs" localSheetId="18">#REF!</definedName>
    <definedName name="ASHPs" localSheetId="9">#REF!</definedName>
    <definedName name="ASHPs">#REF!</definedName>
    <definedName name="Assign_Hemi_To_Contractor" localSheetId="7">#REF!</definedName>
    <definedName name="Assign_Hemi_To_Contractor" localSheetId="18">#REF!</definedName>
    <definedName name="Assign_Hemi_To_Contractor" localSheetId="9">#REF!</definedName>
    <definedName name="Assign_Hemi_To_Contractor">#REF!</definedName>
    <definedName name="Attic_Flat">[1]List!$E$9:$E$12</definedName>
    <definedName name="AtticFlats" localSheetId="7">#REF!</definedName>
    <definedName name="AtticFlats" localSheetId="18">#REF!</definedName>
    <definedName name="AtticFlats" localSheetId="6">#REF!</definedName>
    <definedName name="AtticFlats" localSheetId="9">#REF!</definedName>
    <definedName name="AtticFlats">#REF!</definedName>
    <definedName name="Attics" localSheetId="7">#REF!</definedName>
    <definedName name="Attics" localSheetId="18">#REF!</definedName>
    <definedName name="Attics" localSheetId="9">#REF!</definedName>
    <definedName name="Attics">#REF!</definedName>
    <definedName name="Awful">[1]List!$E$22:$E$25</definedName>
    <definedName name="Baseline">[2]Lookups!$H$91:$I$93</definedName>
    <definedName name="Basement">[1]List!$C$2:$C$6</definedName>
    <definedName name="Batt">[1]List!$E$14:$E$17</definedName>
    <definedName name="Batts" localSheetId="7">#REF!</definedName>
    <definedName name="Batts" localSheetId="18">#REF!</definedName>
    <definedName name="Batts" localSheetId="6">#REF!</definedName>
    <definedName name="Batts" localSheetId="9">#REF!</definedName>
    <definedName name="Batts">#REF!</definedName>
    <definedName name="BldgList">[2]Lookups!$B$18:$B$41</definedName>
    <definedName name="BldgTypes" localSheetId="15">[3]MeasureList!$B$36</definedName>
    <definedName name="BldgTypes" localSheetId="16">[3]MeasureList!$B$36</definedName>
    <definedName name="BldgTypes" localSheetId="14">[3]MeasureList!$B$36</definedName>
    <definedName name="BldgTypes" localSheetId="13">[3]MeasureList!$B$36</definedName>
    <definedName name="BldgTypes">[4]MeasureList!$B$36</definedName>
    <definedName name="BldSysArray" localSheetId="15">#REF!</definedName>
    <definedName name="BldSysArray" localSheetId="16">#REF!</definedName>
    <definedName name="BldSysArray" localSheetId="14">#REF!</definedName>
    <definedName name="BldSysArray" localSheetId="13">#REF!</definedName>
    <definedName name="BldSysArray">#REF!</definedName>
    <definedName name="Bsmt" localSheetId="7">#REF!</definedName>
    <definedName name="Bsmt" localSheetId="18">#REF!</definedName>
    <definedName name="Bsmt" localSheetId="6">#REF!</definedName>
    <definedName name="Bsmt" localSheetId="9">#REF!</definedName>
    <definedName name="Bsmt">#REF!</definedName>
    <definedName name="BuildingType">[2]Lookups!$A$18:$P$41</definedName>
    <definedName name="BuildingType2">[2]Lookups!$B$18:$P$41</definedName>
    <definedName name="BuildingType2Cols">[2]Lookups!$B$16:$M$16</definedName>
    <definedName name="BuildingTypeDD">[2]Lookups!$A$18:$A$41</definedName>
    <definedName name="BuildingTypes" localSheetId="15">'[5]Lookup Info'!$F$2:$F$34</definedName>
    <definedName name="BuildingTypes" localSheetId="16">'[5]Lookup Info'!$F$2:$F$34</definedName>
    <definedName name="BuildingTypes" localSheetId="14">'[5]Lookup Info'!$F$2:$F$34</definedName>
    <definedName name="BuildingTypes" localSheetId="13">'[5]Lookup Info'!$F$2:$F$34</definedName>
    <definedName name="BuildingTypes">'[6]Lookup Info'!$F$2:$F$34</definedName>
    <definedName name="CAC" localSheetId="7">[7]Lists!$A$35:$A$41</definedName>
    <definedName name="CAC" localSheetId="8">[8]Lists!$A$36:$A$43</definedName>
    <definedName name="CAC" localSheetId="19">[8]Lists!$A$36:$A$43</definedName>
    <definedName name="CAC" localSheetId="18">[9]Lists!$A$35:$A$41</definedName>
    <definedName name="CAC" localSheetId="6">[10]Lists!$A$36:$A$43</definedName>
    <definedName name="CAC" localSheetId="12">[8]Lists!$A$36:$A$43</definedName>
    <definedName name="CAC" localSheetId="17">[8]Lists!$A$36:$A$43</definedName>
    <definedName name="CAC">[11]Lists!$A$36:$A$42</definedName>
    <definedName name="CC" localSheetId="7">#REF!</definedName>
    <definedName name="CC" localSheetId="18">#REF!</definedName>
    <definedName name="CC" localSheetId="6">#REF!</definedName>
    <definedName name="CC" localSheetId="9">#REF!</definedName>
    <definedName name="CC">#REF!</definedName>
    <definedName name="Cellulose">[1]List!$E$15:$E$16</definedName>
    <definedName name="Celluloses" localSheetId="7">#REF!</definedName>
    <definedName name="Celluloses" localSheetId="18">#REF!</definedName>
    <definedName name="Celluloses" localSheetId="6">#REF!</definedName>
    <definedName name="Celluloses" localSheetId="9">#REF!</definedName>
    <definedName name="Celluloses">#REF!</definedName>
    <definedName name="CFL">[1]List!$A$8:$A$10</definedName>
    <definedName name="CFLs" localSheetId="7">#REF!</definedName>
    <definedName name="CFLs" localSheetId="18">#REF!</definedName>
    <definedName name="CFLs" localSheetId="6">#REF!</definedName>
    <definedName name="CFLs" localSheetId="9">#REF!</definedName>
    <definedName name="CFLs">#REF!</definedName>
    <definedName name="ClimateZone">[2]Lookups!$B$70:$G$86</definedName>
    <definedName name="Closed_Cell_SPF" localSheetId="7">#REF!</definedName>
    <definedName name="Closed_Cell_SPF" localSheetId="18">#REF!</definedName>
    <definedName name="Closed_Cell_SPF" localSheetId="6">#REF!</definedName>
    <definedName name="Closed_Cell_SPF" localSheetId="9">#REF!</definedName>
    <definedName name="Closed_Cell_SPF">#REF!</definedName>
    <definedName name="ClosedCell" localSheetId="7">#REF!</definedName>
    <definedName name="ClosedCell" localSheetId="18">#REF!</definedName>
    <definedName name="ClosedCell" localSheetId="9">#REF!</definedName>
    <definedName name="ClosedCell">#REF!</definedName>
    <definedName name="CoincidentDiversity" localSheetId="15">'[5]Lookup Info'!$R$2:$R$4</definedName>
    <definedName name="CoincidentDiversity" localSheetId="16">'[5]Lookup Info'!$R$2:$R$4</definedName>
    <definedName name="CoincidentDiversity" localSheetId="14">'[5]Lookup Info'!$R$2:$R$4</definedName>
    <definedName name="CoincidentDiversity" localSheetId="13">'[5]Lookup Info'!$R$2:$R$4</definedName>
    <definedName name="CoincidentDiversity">'[6]Lookup Info'!$R$2:$R$4</definedName>
    <definedName name="Conditional_Approval" localSheetId="7">#REF!</definedName>
    <definedName name="Conditional_Approval" localSheetId="18">#REF!</definedName>
    <definedName name="Conditional_Approval" localSheetId="6">#REF!</definedName>
    <definedName name="Conditional_Approval" localSheetId="17">#REF!</definedName>
    <definedName name="Conditional_Approval">#REF!</definedName>
    <definedName name="Customer_Address" localSheetId="7">#REF!</definedName>
    <definedName name="Customer_Address" localSheetId="18">#REF!</definedName>
    <definedName name="Customer_Address" localSheetId="6">#REF!</definedName>
    <definedName name="Customer_Address">#REF!</definedName>
    <definedName name="Customer_City_ST_Zip" localSheetId="7">#REF!</definedName>
    <definedName name="Customer_City_ST_Zip" localSheetId="18">#REF!</definedName>
    <definedName name="Customer_City_ST_Zip" localSheetId="6">#REF!</definedName>
    <definedName name="Customer_City_ST_Zip">#REF!</definedName>
    <definedName name="Customer_Name" localSheetId="7">#REF!</definedName>
    <definedName name="Customer_Name" localSheetId="18">#REF!</definedName>
    <definedName name="Customer_Name">#REF!</definedName>
    <definedName name="CZWtsCol">'[2]Weighting Factors'!$AK$6:$BA$6</definedName>
    <definedName name="Date_of_Transmittal" localSheetId="7">#REF!</definedName>
    <definedName name="Date_of_Transmittal" localSheetId="18">#REF!</definedName>
    <definedName name="Date_of_Transmittal" localSheetId="6">#REF!</definedName>
    <definedName name="Date_of_Transmittal" localSheetId="17">#REF!</definedName>
    <definedName name="Date_of_Transmittal">#REF!</definedName>
    <definedName name="Depth">[1]List!$E$19:$E$20</definedName>
    <definedName name="DetailMeasure" localSheetId="15">'[5]Lookup Info'!#REF!</definedName>
    <definedName name="DetailMeasure" localSheetId="16">'[5]Lookup Info'!#REF!</definedName>
    <definedName name="DetailMeasure" localSheetId="14">'[5]Lookup Info'!#REF!</definedName>
    <definedName name="DetailMeasure" localSheetId="13">'[5]Lookup Info'!#REF!</definedName>
    <definedName name="DetailMeasure">'[6]Lookup Info'!#REF!</definedName>
    <definedName name="DIM" localSheetId="15">'[5]Lookup Info'!$V$2:$V$25</definedName>
    <definedName name="DIM" localSheetId="16">'[5]Lookup Info'!$V$2:$V$25</definedName>
    <definedName name="DIM" localSheetId="14">'[5]Lookup Info'!$V$2:$V$25</definedName>
    <definedName name="DIM" localSheetId="13">'[5]Lookup Info'!$V$2:$V$25</definedName>
    <definedName name="DIM">'[6]Lookup Info'!$V$2:$V$25</definedName>
    <definedName name="DmdModCZArray">[2]DmdModTable!$B$5:$R$5</definedName>
    <definedName name="DmdModTable">[2]DmdModTable!$B$7:$R$29</definedName>
    <definedName name="Dollar_Savings" localSheetId="7">#REF!</definedName>
    <definedName name="Dollar_Savings" localSheetId="18">#REF!</definedName>
    <definedName name="Dollar_Savings" localSheetId="6">#REF!</definedName>
    <definedName name="Dollar_Savings" localSheetId="9">#REF!</definedName>
    <definedName name="Dollar_Savings">#REF!</definedName>
    <definedName name="EndUse" localSheetId="15">'[5]CPUC End Use'!$B$3:$B$17</definedName>
    <definedName name="EndUse" localSheetId="16">'[5]CPUC End Use'!$B$3:$B$17</definedName>
    <definedName name="EndUse" localSheetId="14">'[5]CPUC End Use'!$B$3:$B$17</definedName>
    <definedName name="EndUse" localSheetId="13">'[5]CPUC End Use'!$B$3:$B$17</definedName>
    <definedName name="EndUse">'[6]CPUC End Use'!$B$3:$B$17</definedName>
    <definedName name="EnergySavingsOnlySIR" localSheetId="7">#REF!</definedName>
    <definedName name="EnergySavingsOnlySIR" localSheetId="18">#REF!</definedName>
    <definedName name="EnergySavingsOnlySIR" localSheetId="6">#REF!</definedName>
    <definedName name="EnergySavingsOnlySIR" localSheetId="9">#REF!</definedName>
    <definedName name="EnergySavingsOnlySIR">#REF!</definedName>
    <definedName name="ESmart_Amt" localSheetId="7">#REF!</definedName>
    <definedName name="ESmart_Amt" localSheetId="18">#REF!</definedName>
    <definedName name="ESmart_Amt" localSheetId="9">#REF!</definedName>
    <definedName name="ESmart_Amt">#REF!</definedName>
    <definedName name="EULID" localSheetId="15">'[5]Lookup Info'!$AK$2:$AK$204</definedName>
    <definedName name="EULID" localSheetId="16">'[5]Lookup Info'!$AK$2:$AK$204</definedName>
    <definedName name="EULID" localSheetId="14">'[5]Lookup Info'!$AK$2:$AK$204</definedName>
    <definedName name="EULID" localSheetId="13">'[5]Lookup Info'!$AK$2:$AK$204</definedName>
    <definedName name="EULID">'[6]Lookup Info'!$AK$2:$AK$204</definedName>
    <definedName name="Exc" localSheetId="7">#REF!</definedName>
    <definedName name="Exc" localSheetId="18">#REF!</definedName>
    <definedName name="Exc" localSheetId="6">#REF!</definedName>
    <definedName name="Exc" localSheetId="17">#REF!</definedName>
    <definedName name="Exc">#REF!</definedName>
    <definedName name="Excellent">[1]List!$A$29:$A$32</definedName>
    <definedName name="Excellents" localSheetId="7">#REF!</definedName>
    <definedName name="Excellents" localSheetId="18">#REF!</definedName>
    <definedName name="Excellents" localSheetId="6">#REF!</definedName>
    <definedName name="Excellents" localSheetId="9">#REF!</definedName>
    <definedName name="Excellents">#REF!</definedName>
    <definedName name="Existing_Fuel" localSheetId="7">#REF!</definedName>
    <definedName name="Existing_Fuel" localSheetId="18">#REF!</definedName>
    <definedName name="Existing_Fuel" localSheetId="9">#REF!</definedName>
    <definedName name="Existing_Fuel">#REF!</definedName>
    <definedName name="Financials_Completions" localSheetId="7">#REF!</definedName>
    <definedName name="Financials_Completions" localSheetId="18">#REF!</definedName>
    <definedName name="Financials_Completions" localSheetId="9">#REF!</definedName>
    <definedName name="Financials_Completions">#REF!</definedName>
    <definedName name="Financials_Reviews" localSheetId="7">#REF!</definedName>
    <definedName name="Financials_Reviews" localSheetId="18">#REF!</definedName>
    <definedName name="Financials_Reviews">#REF!</definedName>
    <definedName name="Finished">[1]List!$C$18:$C$21</definedName>
    <definedName name="FinishedNA" localSheetId="7">#REF!</definedName>
    <definedName name="FinishedNA" localSheetId="18">#REF!</definedName>
    <definedName name="FinishedNA" localSheetId="6">#REF!</definedName>
    <definedName name="FinishedNA" localSheetId="9">#REF!</definedName>
    <definedName name="FinishedNA">#REF!</definedName>
    <definedName name="From_Completions" localSheetId="7">#REF!</definedName>
    <definedName name="From_Completions" localSheetId="18">#REF!</definedName>
    <definedName name="From_Completions" localSheetId="9">#REF!</definedName>
    <definedName name="From_Completions">#REF!</definedName>
    <definedName name="From_Reviews" localSheetId="7">#REF!</definedName>
    <definedName name="From_Reviews" localSheetId="18">#REF!</definedName>
    <definedName name="From_Reviews" localSheetId="9">#REF!</definedName>
    <definedName name="From_Reviews">#REF!</definedName>
    <definedName name="Furnace" localSheetId="7">[7]Lists!$A$29:$A$32</definedName>
    <definedName name="Furnace" localSheetId="8">[8]Lists!$A$29:$A$33</definedName>
    <definedName name="Furnace" localSheetId="19">[8]Lists!$A$29:$A$33</definedName>
    <definedName name="Furnace" localSheetId="18">[9]Lists!$A$29:$A$32</definedName>
    <definedName name="Furnace" localSheetId="6">[10]Lists!$A$29:$A$33</definedName>
    <definedName name="Furnace" localSheetId="12">[8]Lists!$A$29:$A$33</definedName>
    <definedName name="Furnace" localSheetId="17">[8]Lists!$A$29:$A$33</definedName>
    <definedName name="Furnace">[11]Lists!$A$29:$A$33</definedName>
    <definedName name="Ga" localSheetId="7">#REF!</definedName>
    <definedName name="Ga" localSheetId="18">#REF!</definedName>
    <definedName name="Ga" localSheetId="6">#REF!</definedName>
    <definedName name="Ga" localSheetId="17">#REF!</definedName>
    <definedName name="Ga">#REF!</definedName>
    <definedName name="Gas">[1]List!$A$20:$A$21</definedName>
    <definedName name="GasNA">[1]List!$A$20:$A$22</definedName>
    <definedName name="GasNAs" localSheetId="7">#REF!</definedName>
    <definedName name="GasNAs" localSheetId="18">#REF!</definedName>
    <definedName name="GasNAs" localSheetId="6">#REF!</definedName>
    <definedName name="GasNAs" localSheetId="9">#REF!</definedName>
    <definedName name="GasNAs">#REF!</definedName>
    <definedName name="Gass" localSheetId="7">#REF!</definedName>
    <definedName name="Gass" localSheetId="18">#REF!</definedName>
    <definedName name="Gass" localSheetId="9">#REF!</definedName>
    <definedName name="Gass">#REF!</definedName>
    <definedName name="Good" localSheetId="7">[7]Lists!$A$24:$A$27</definedName>
    <definedName name="Good" localSheetId="8">[8]Lists!$A$24:$A$27</definedName>
    <definedName name="Good" localSheetId="19">[8]Lists!$A$24:$A$27</definedName>
    <definedName name="Good" localSheetId="18">[9]Lists!$A$24:$A$27</definedName>
    <definedName name="Good" localSheetId="6">[10]Lists!$A$24:$A$27</definedName>
    <definedName name="Good" localSheetId="12">[8]Lists!$A$24:$A$27</definedName>
    <definedName name="Good" localSheetId="17">[8]Lists!$A$24:$A$27</definedName>
    <definedName name="Good">[11]Lists!$A$24:$A$27</definedName>
    <definedName name="Hall">[1]List!$C$28:$C$31</definedName>
    <definedName name="Halls" localSheetId="7">#REF!</definedName>
    <definedName name="Halls" localSheetId="18">#REF!</definedName>
    <definedName name="Halls" localSheetId="6">#REF!</definedName>
    <definedName name="Halls" localSheetId="9">#REF!</definedName>
    <definedName name="Halls">#REF!</definedName>
    <definedName name="Hatch">[1]List!$C$23:$C$26</definedName>
    <definedName name="Hatchs" localSheetId="7">#REF!</definedName>
    <definedName name="Hatchs" localSheetId="18">#REF!</definedName>
    <definedName name="Hatchs" localSheetId="6">#REF!</definedName>
    <definedName name="Hatchs" localSheetId="9">#REF!</definedName>
    <definedName name="Hatchs">#REF!</definedName>
    <definedName name="HFI_Amt" localSheetId="7">#REF!</definedName>
    <definedName name="HFI_Amt" localSheetId="18">#REF!</definedName>
    <definedName name="HFI_Amt" localSheetId="9">#REF!</definedName>
    <definedName name="HFI_Amt">#REF!</definedName>
    <definedName name="Hip">[1]List!$C$33:$C$35</definedName>
    <definedName name="Hips" localSheetId="7">#REF!</definedName>
    <definedName name="Hips" localSheetId="18">#REF!</definedName>
    <definedName name="Hips" localSheetId="6">#REF!</definedName>
    <definedName name="Hips" localSheetId="9">#REF!</definedName>
    <definedName name="Hips">#REF!</definedName>
    <definedName name="HVAC_Type" localSheetId="15">'[5]Lookup Info'!$AH$2:$AH$31</definedName>
    <definedName name="HVAC_Type" localSheetId="16">'[5]Lookup Info'!$AH$2:$AH$31</definedName>
    <definedName name="HVAC_Type" localSheetId="14">'[5]Lookup Info'!$AH$2:$AH$31</definedName>
    <definedName name="HVAC_Type" localSheetId="13">'[5]Lookup Info'!$AH$2:$AH$31</definedName>
    <definedName name="HVAC_Type">'[6]Lookup Info'!$AH$2:$AH$31</definedName>
    <definedName name="IE_Tech" localSheetId="15">'[5]Lookup Info'!$T$2:$T$4</definedName>
    <definedName name="IE_Tech" localSheetId="16">'[5]Lookup Info'!$T$2:$T$4</definedName>
    <definedName name="IE_Tech" localSheetId="14">'[5]Lookup Info'!$T$2:$T$4</definedName>
    <definedName name="IE_Tech" localSheetId="13">'[5]Lookup Info'!$T$2:$T$4</definedName>
    <definedName name="IE_Tech">'[6]Lookup Info'!$T$2:$T$4</definedName>
    <definedName name="IETable" localSheetId="15">#REF!</definedName>
    <definedName name="IETable" localSheetId="16">#REF!</definedName>
    <definedName name="IETable" localSheetId="14">#REF!</definedName>
    <definedName name="IETable" localSheetId="13">#REF!</definedName>
    <definedName name="IETable">#REF!</definedName>
    <definedName name="InteractiveEffects" localSheetId="15">'[5]Lookup Info'!$N$2:$N$4</definedName>
    <definedName name="InteractiveEffects" localSheetId="16">'[5]Lookup Info'!$N$2:$N$4</definedName>
    <definedName name="InteractiveEffects" localSheetId="14">'[5]Lookup Info'!$N$2:$N$4</definedName>
    <definedName name="InteractiveEffects" localSheetId="13">'[5]Lookup Info'!$N$2:$N$4</definedName>
    <definedName name="InteractiveEffects">'[6]Lookup Info'!$N$2:$N$4</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Kwh" localSheetId="7">#REF!</definedName>
    <definedName name="Kwh" localSheetId="18">#REF!</definedName>
    <definedName name="Kwh" localSheetId="9">#REF!</definedName>
    <definedName name="Kwh">#REF!</definedName>
    <definedName name="L_UtilityHVACWtsTbl" localSheetId="15">[12]Lookups!$F$20:$G$29</definedName>
    <definedName name="L_UtilityHVACWtsTbl" localSheetId="16">[12]Lookups!$F$20:$G$29</definedName>
    <definedName name="L_UtilityHVACWtsTbl" localSheetId="14">[12]Lookups!$F$20:$G$29</definedName>
    <definedName name="L_UtilityHVACWtsTbl" localSheetId="13">[12]Lookups!$F$20:$G$29</definedName>
    <definedName name="L_UtilityHVACWtsTbl">[13]Lookups!$F$20:$G$29</definedName>
    <definedName name="linefeed" localSheetId="7">#REF!</definedName>
    <definedName name="linefeed" localSheetId="18">#REF!</definedName>
    <definedName name="linefeed" localSheetId="6">#REF!</definedName>
    <definedName name="linefeed" localSheetId="9">#REF!</definedName>
    <definedName name="linefeed">#REF!</definedName>
    <definedName name="LIPA_Amount" localSheetId="7">#REF!</definedName>
    <definedName name="LIPA_Amount" localSheetId="18">#REF!</definedName>
    <definedName name="LIPA_Amount" localSheetId="6">#REF!</definedName>
    <definedName name="LIPA_Amount">#REF!</definedName>
    <definedName name="Loadshapes" localSheetId="15">'[5]Lookup Info'!$A$2:$A$62</definedName>
    <definedName name="Loadshapes" localSheetId="16">'[5]Lookup Info'!$A$2:$A$62</definedName>
    <definedName name="Loadshapes" localSheetId="14">'[5]Lookup Info'!$A$2:$A$62</definedName>
    <definedName name="Loadshapes" localSheetId="13">'[5]Lookup Info'!$A$2:$A$62</definedName>
    <definedName name="Loadshapes">'[6]Lookup Info'!$A$2:$A$62</definedName>
    <definedName name="Measure">[2]Lookups!$B$57:$F$62</definedName>
    <definedName name="MeasureStatus" localSheetId="15">'[5]Lookup Info'!$AA$2:$AA$4</definedName>
    <definedName name="MeasureStatus" localSheetId="16">'[5]Lookup Info'!$AA$2:$AA$4</definedName>
    <definedName name="MeasureStatus" localSheetId="14">'[5]Lookup Info'!$AA$2:$AA$4</definedName>
    <definedName name="MeasureStatus" localSheetId="13">'[5]Lookup Info'!$AA$2:$AA$4</definedName>
    <definedName name="MeasureStatus">'[6]Lookup Info'!$AA$2:$AA$4</definedName>
    <definedName name="MeasureSummary" localSheetId="15">'[5]Lookup Info'!$AC$2:$AC$4</definedName>
    <definedName name="MeasureSummary" localSheetId="16">'[5]Lookup Info'!$AC$2:$AC$4</definedName>
    <definedName name="MeasureSummary" localSheetId="14">'[5]Lookup Info'!$AC$2:$AC$4</definedName>
    <definedName name="MeasureSummary" localSheetId="13">'[5]Lookup Info'!$AC$2:$AC$4</definedName>
    <definedName name="MeasureSummary">'[6]Lookup Info'!$AC$2:$AC$4</definedName>
    <definedName name="Message_Completions" localSheetId="7">#REF!</definedName>
    <definedName name="Message_Completions" localSheetId="18">#REF!</definedName>
    <definedName name="Message_Completions" localSheetId="6">#REF!</definedName>
    <definedName name="Message_Completions" localSheetId="17">#REF!</definedName>
    <definedName name="Message_Completions">#REF!</definedName>
    <definedName name="Message_JobComplete" localSheetId="7">#REF!</definedName>
    <definedName name="Message_JobComplete" localSheetId="18">#REF!</definedName>
    <definedName name="Message_JobComplete" localSheetId="6">#REF!</definedName>
    <definedName name="Message_JobComplete">#REF!</definedName>
    <definedName name="Message_JobReview" localSheetId="7">#REF!</definedName>
    <definedName name="Message_JobReview" localSheetId="18">#REF!</definedName>
    <definedName name="Message_JobReview" localSheetId="6">#REF!</definedName>
    <definedName name="Message_JobReview">#REF!</definedName>
    <definedName name="MMbtu" localSheetId="7">#REF!</definedName>
    <definedName name="MMbtu" localSheetId="18">#REF!</definedName>
    <definedName name="MMbtu">#REF!</definedName>
    <definedName name="Moderate" localSheetId="7">#REF!</definedName>
    <definedName name="Moderate" localSheetId="8">#REF!</definedName>
    <definedName name="Moderate" localSheetId="19">#REF!</definedName>
    <definedName name="Moderate" localSheetId="18">#REF!</definedName>
    <definedName name="Moderate" localSheetId="6">#REF!</definedName>
    <definedName name="Moderate" localSheetId="9">#REF!</definedName>
    <definedName name="Moderate" localSheetId="12">#REF!</definedName>
    <definedName name="Moderate" localSheetId="17">#REF!</definedName>
    <definedName name="Moderate">#REF!</definedName>
    <definedName name="myrange" localSheetId="7">'[8]HVAC Tier 2 Incentive Table'!#REF!</definedName>
    <definedName name="myrange" localSheetId="8">'[8]HVAC Tier 2 Incentive Table'!#REF!</definedName>
    <definedName name="myrange" localSheetId="19">'[8]HVAC Tier 2 Incentive Table'!#REF!</definedName>
    <definedName name="myrange" localSheetId="18">'[10]HVAC Tier 2 Incentive Table'!#REF!</definedName>
    <definedName name="myrange" localSheetId="6">'HVAC Tier 2 Incentive Table'!#REF!</definedName>
    <definedName name="myrange" localSheetId="12">'[8]HVAC Tier 2 Incentive Table'!#REF!</definedName>
    <definedName name="myrange" localSheetId="17">'[8]HVAC Tier 2 Incentive Table'!#REF!</definedName>
    <definedName name="myrange">'[11]HVAC Tier 2 Incentive Table'!#REF!</definedName>
    <definedName name="Natural">[1]List!$C$13:$C$16</definedName>
    <definedName name="NaturalNA" localSheetId="7">#REF!</definedName>
    <definedName name="NaturalNA" localSheetId="18">#REF!</definedName>
    <definedName name="NaturalNA" localSheetId="6">#REF!</definedName>
    <definedName name="NaturalNA" localSheetId="9">#REF!</definedName>
    <definedName name="NaturalNA">#REF!</definedName>
    <definedName name="Naturals">[14]List!$E$2:$E$5</definedName>
    <definedName name="Nnatural" localSheetId="7">#REF!</definedName>
    <definedName name="Nnatural" localSheetId="18">#REF!</definedName>
    <definedName name="Nnatural" localSheetId="6">#REF!</definedName>
    <definedName name="Nnatural" localSheetId="9">#REF!</definedName>
    <definedName name="Nnatural">#REF!</definedName>
    <definedName name="No">[14]List!$E$7:$E$9</definedName>
    <definedName name="Notes" localSheetId="7">#REF!</definedName>
    <definedName name="Notes" localSheetId="18">#REF!</definedName>
    <definedName name="Notes" localSheetId="6">#REF!</definedName>
    <definedName name="Notes" localSheetId="9">#REF!</definedName>
    <definedName name="Notes">#REF!</definedName>
    <definedName name="Notes_Completions" localSheetId="7">#REF!</definedName>
    <definedName name="Notes_Completions" localSheetId="18">#REF!</definedName>
    <definedName name="Notes_Completions" localSheetId="9">#REF!</definedName>
    <definedName name="Notes_Completions">#REF!</definedName>
    <definedName name="Notes_JobReview" localSheetId="7">#REF!</definedName>
    <definedName name="Notes_JobReview" localSheetId="18">#REF!</definedName>
    <definedName name="Notes_JobReview" localSheetId="9">#REF!</definedName>
    <definedName name="Notes_JobReview">#REF!</definedName>
    <definedName name="OBR_Utility" localSheetId="7">#REF!</definedName>
    <definedName name="OBR_Utility" localSheetId="18">#REF!</definedName>
    <definedName name="OBR_Utility">#REF!</definedName>
    <definedName name="OLE_LINK1" localSheetId="15">#REF!</definedName>
    <definedName name="OLE_LINK1" localSheetId="16">#REF!</definedName>
    <definedName name="OLE_LINK1" localSheetId="14">#REF!</definedName>
    <definedName name="OLE_LINK1" localSheetId="13">#REF!</definedName>
    <definedName name="OLE_LINK1">#REF!</definedName>
    <definedName name="On_Demand" localSheetId="7">[7]Lists!$C$18:$C$22</definedName>
    <definedName name="On_Demand" localSheetId="8">[8]Lists!$C$18:$C$22</definedName>
    <definedName name="On_Demand" localSheetId="19">[8]Lists!$C$18:$C$22</definedName>
    <definedName name="On_Demand" localSheetId="18">[9]Lists!$C$18:$C$22</definedName>
    <definedName name="On_Demand" localSheetId="6">[10]Lists!$C$18:$C$22</definedName>
    <definedName name="On_Demand" localSheetId="9">[11]Lists!$C$18:$C$22</definedName>
    <definedName name="On_Demand" localSheetId="12">[8]Lists!$C$18:$C$22</definedName>
    <definedName name="On_Demand" localSheetId="17">[8]Lists!$C$18:$C$22</definedName>
    <definedName name="On_Demand">[15]Lists!$C$18:$C$22</definedName>
    <definedName name="One">[1]List!$A$12:$A$17</definedName>
    <definedName name="OnePlus">[1]List!$A$12:$A$18</definedName>
    <definedName name="Ones" localSheetId="7">#REF!</definedName>
    <definedName name="Ones" localSheetId="18">#REF!</definedName>
    <definedName name="Ones" localSheetId="6">#REF!</definedName>
    <definedName name="Ones" localSheetId="9">#REF!</definedName>
    <definedName name="Ones">#REF!</definedName>
    <definedName name="OperatingHours" localSheetId="15">'[5]Lookup Info'!$P$2:$P$14</definedName>
    <definedName name="OperatingHours" localSheetId="16">'[5]Lookup Info'!$P$2:$P$14</definedName>
    <definedName name="OperatingHours" localSheetId="14">'[5]Lookup Info'!$P$2:$P$14</definedName>
    <definedName name="OperatingHours" localSheetId="13">'[5]Lookup Info'!$P$2:$P$14</definedName>
    <definedName name="OperatingHours">'[6]Lookup Info'!$P$2:$P$14</definedName>
    <definedName name="Participating_Contractor" localSheetId="7">#REF!</definedName>
    <definedName name="Participating_Contractor" localSheetId="18">#REF!</definedName>
    <definedName name="Participating_Contractor" localSheetId="6">#REF!</definedName>
    <definedName name="Participating_Contractor" localSheetId="9">#REF!</definedName>
    <definedName name="Participating_Contractor">#REF!</definedName>
    <definedName name="Payback_Years" localSheetId="7">#REF!</definedName>
    <definedName name="Payback_Years" localSheetId="18">#REF!</definedName>
    <definedName name="Payback_Years" localSheetId="9">#REF!</definedName>
    <definedName name="Payback_Years">#REF!</definedName>
    <definedName name="Primary_Heating_Fuel" localSheetId="7">#REF!</definedName>
    <definedName name="Primary_Heating_Fuel" localSheetId="18">#REF!</definedName>
    <definedName name="Primary_Heating_Fuel">#REF!</definedName>
    <definedName name="_xlnm.Print_Area" localSheetId="7">'Ancillary Costs'!$B$1:$S$27</definedName>
    <definedName name="_xlnm.Print_Area" localSheetId="8">'Disclaimer Form'!$B$1:$X$108</definedName>
    <definedName name="_xlnm.Print_Area" localSheetId="5">Electrification!$B$1:$AO$62</definedName>
    <definedName name="_xlnm.Print_Area" localSheetId="19">'H&amp;S-PY24 Pricing'!$A$1:$G$56</definedName>
    <definedName name="_xlnm.Print_Area" localSheetId="12">'Old Test Form'!$A$1:$R$139</definedName>
    <definedName name="_xlnm.Print_Area" localSheetId="1">'Project Information'!$B$1:$AO$54</definedName>
    <definedName name="_xlnm.Print_Area" localSheetId="0">'START HERE'!$B$1:$AM$58</definedName>
    <definedName name="_xlnm.Print_Area" localSheetId="13">'WH Bill Analysis'!$B$1:$AK$22</definedName>
    <definedName name="_xlnm.Print_Area" localSheetId="17">'WNCF Form'!$B$1:$K$33</definedName>
    <definedName name="_xlnm.Print_Area" localSheetId="2">'Work Scope'!$B$1:$AO$103</definedName>
    <definedName name="_xlnm.Print_Titles" localSheetId="18">'HE-PY24 Pricing'!$1:$4</definedName>
    <definedName name="ProgramType" localSheetId="15">'[5]Lookup Info'!$C$2:$C$5</definedName>
    <definedName name="ProgramType" localSheetId="16">'[5]Lookup Info'!$C$2:$C$5</definedName>
    <definedName name="ProgramType" localSheetId="14">'[5]Lookup Info'!$C$2:$C$5</definedName>
    <definedName name="ProgramType" localSheetId="13">'[5]Lookup Info'!$C$2:$C$5</definedName>
    <definedName name="ProgramType">'[6]Lookup Info'!$C$2:$C$5</definedName>
    <definedName name="Project_Type" localSheetId="7">#REF!</definedName>
    <definedName name="Project_Type" localSheetId="18">#REF!</definedName>
    <definedName name="Project_Type" localSheetId="6">#REF!</definedName>
    <definedName name="Project_Type" localSheetId="9">#REF!</definedName>
    <definedName name="Project_Type">#REF!</definedName>
    <definedName name="ProjectID" localSheetId="7">#REF!</definedName>
    <definedName name="ProjectID" localSheetId="18">#REF!</definedName>
    <definedName name="ProjectID" localSheetId="9">#REF!</definedName>
    <definedName name="ProjectID">#REF!</definedName>
    <definedName name="Qualifications" localSheetId="7">#REF!</definedName>
    <definedName name="Qualifications" localSheetId="18">#REF!</definedName>
    <definedName name="Qualifications" localSheetId="9">#REF!</definedName>
    <definedName name="Qualifications">#REF!</definedName>
    <definedName name="Ranch">[1]List!$G$2:$G$7</definedName>
    <definedName name="Ranchs" localSheetId="7">#REF!</definedName>
    <definedName name="Ranchs" localSheetId="18">#REF!</definedName>
    <definedName name="Ranchs" localSheetId="6">#REF!</definedName>
    <definedName name="Ranchs" localSheetId="9">#REF!</definedName>
    <definedName name="Ranchs">#REF!</definedName>
    <definedName name="RatesForCAD" localSheetId="15">#REF!</definedName>
    <definedName name="RatesForCAD" localSheetId="16">#REF!</definedName>
    <definedName name="RatesForCAD" localSheetId="14">#REF!</definedName>
    <definedName name="RatesForCAD" localSheetId="18">#REF!</definedName>
    <definedName name="RatesForCAD" localSheetId="6">#REF!</definedName>
    <definedName name="RatesForCAD" localSheetId="13">#REF!</definedName>
    <definedName name="RatesForCAD">#REF!</definedName>
    <definedName name="Re_Completions" localSheetId="7">#REF!</definedName>
    <definedName name="Re_Completions" localSheetId="18">#REF!</definedName>
    <definedName name="Re_Completions" localSheetId="9">#REF!</definedName>
    <definedName name="Re_Completions">#REF!</definedName>
    <definedName name="Re_Reviews" localSheetId="7">#REF!</definedName>
    <definedName name="Re_Reviews" localSheetId="18">#REF!</definedName>
    <definedName name="Re_Reviews" localSheetId="9">#REF!</definedName>
    <definedName name="Re_Reviews">#REF!</definedName>
    <definedName name="ResultType2">[2]Lookups!$A$110:$B$112</definedName>
    <definedName name="Ridge">[1]List!$E$2:$E$7</definedName>
    <definedName name="Ridges" localSheetId="7">#REF!</definedName>
    <definedName name="Ridges" localSheetId="18">#REF!</definedName>
    <definedName name="Ridges" localSheetId="6">#REF!</definedName>
    <definedName name="Ridges" localSheetId="9">#REF!</definedName>
    <definedName name="Ridges">#REF!</definedName>
    <definedName name="RJ" localSheetId="7">#REF!</definedName>
    <definedName name="RJ" localSheetId="18">#REF!</definedName>
    <definedName name="RJ" localSheetId="9">#REF!</definedName>
    <definedName name="RJ">#REF!</definedName>
    <definedName name="Silvercote">[1]List!$G$13</definedName>
    <definedName name="SIR_Payback" localSheetId="7">#REF!</definedName>
    <definedName name="SIR_Payback" localSheetId="18">#REF!</definedName>
    <definedName name="SIR_Payback" localSheetId="6">#REF!</definedName>
    <definedName name="SIR_Payback" localSheetId="9">#REF!</definedName>
    <definedName name="SIR_Payback">#REF!</definedName>
    <definedName name="Slab" localSheetId="7">#REF!</definedName>
    <definedName name="Slab" localSheetId="18">#REF!</definedName>
    <definedName name="Slab" localSheetId="9">#REF!</definedName>
    <definedName name="Slab">#REF!</definedName>
    <definedName name="SPF" localSheetId="7">#REF!</definedName>
    <definedName name="SPF" localSheetId="18">#REF!</definedName>
    <definedName name="SPF" localSheetId="9">#REF!</definedName>
    <definedName name="SPF">#REF!</definedName>
    <definedName name="SPF_Open_Cell">[1]List!$E$33:$E$35</definedName>
    <definedName name="superrange" localSheetId="15">#REF!</definedName>
    <definedName name="superrange" localSheetId="16">#REF!</definedName>
    <definedName name="superrange" localSheetId="14">#REF!</definedName>
    <definedName name="superrange" localSheetId="13">#REF!</definedName>
    <definedName name="superrange">#REF!</definedName>
    <definedName name="SystemType">[2]Lookups!$A$116:$C$126</definedName>
    <definedName name="SystemTypeDD">[2]Lookups!$A$116:$A$125</definedName>
    <definedName name="SysWtsCol">'[2]Weighting Factors'!$D$7:$P$7</definedName>
    <definedName name="TableResults">[2]Results!$B$22:$M$72</definedName>
    <definedName name="Tank">[1]List!$C$8:$C$11</definedName>
    <definedName name="TankNA" localSheetId="7">#REF!</definedName>
    <definedName name="TankNA" localSheetId="18">#REF!</definedName>
    <definedName name="TankNA" localSheetId="6">#REF!</definedName>
    <definedName name="TankNA" localSheetId="9">#REF!</definedName>
    <definedName name="TankNA">#REF!</definedName>
    <definedName name="Tanks">[14]List!$C$26:$C$30</definedName>
    <definedName name="Test" localSheetId="15">[16]WP!#REF!</definedName>
    <definedName name="Test" localSheetId="16">[16]WP!#REF!</definedName>
    <definedName name="Test" localSheetId="14">[16]WP!#REF!</definedName>
    <definedName name="Test" localSheetId="13">[16]WP!#REF!</definedName>
    <definedName name="Test">[17]WP!#REF!</definedName>
    <definedName name="TestRange" localSheetId="15">[16]WP!#REF!</definedName>
    <definedName name="TestRange" localSheetId="16">[16]WP!#REF!</definedName>
    <definedName name="TestRange" localSheetId="14">[16]WP!#REF!</definedName>
    <definedName name="TestRange" localSheetId="13">[16]WP!#REF!</definedName>
    <definedName name="TestRange">[17]WP!#REF!</definedName>
    <definedName name="Three" localSheetId="7">#REF!</definedName>
    <definedName name="Three" localSheetId="18">#REF!</definedName>
    <definedName name="Three" localSheetId="6">#REF!</definedName>
    <definedName name="Three" localSheetId="9">#REF!</definedName>
    <definedName name="Three">#REF!</definedName>
    <definedName name="To" localSheetId="7">#REF!</definedName>
    <definedName name="To" localSheetId="18">#REF!</definedName>
    <definedName name="To" localSheetId="9">#REF!</definedName>
    <definedName name="To">#REF!</definedName>
    <definedName name="Total_Cost_of_Project" localSheetId="7">#REF!</definedName>
    <definedName name="Total_Cost_of_Project" localSheetId="18">#REF!</definedName>
    <definedName name="Total_Cost_of_Project" localSheetId="9">#REF!</definedName>
    <definedName name="Total_Cost_of_Project">#REF!</definedName>
    <definedName name="Total_Eligible_Measures" localSheetId="7">#REF!</definedName>
    <definedName name="Total_Eligible_Measures" localSheetId="18">#REF!</definedName>
    <definedName name="Total_Eligible_Measures">#REF!</definedName>
    <definedName name="Ttank" localSheetId="7">#REF!</definedName>
    <definedName name="Ttank" localSheetId="18">#REF!</definedName>
    <definedName name="Ttank">#REF!</definedName>
    <definedName name="Utility">[2]Lookups!$A$3:$C$6</definedName>
    <definedName name="Utility_Providers" localSheetId="7">#REF!</definedName>
    <definedName name="Utility_Providers" localSheetId="18">#REF!</definedName>
    <definedName name="Utility_Providers" localSheetId="6">#REF!</definedName>
    <definedName name="Utility_Providers" localSheetId="17">#REF!</definedName>
    <definedName name="Utility_Providers">#REF!</definedName>
    <definedName name="Vintage">[2]Lookups!$A$47:$G$48</definedName>
    <definedName name="VintageDD">[2]Lookups!$A$47:$A$48</definedName>
    <definedName name="WB" localSheetId="7">#REF!</definedName>
    <definedName name="WB" localSheetId="18">#REF!</definedName>
    <definedName name="WB" localSheetId="6">#REF!</definedName>
    <definedName name="WB" localSheetId="17">#REF!</definedName>
    <definedName name="WB">#REF!</definedName>
    <definedName name="WBNA" localSheetId="7">#REF!</definedName>
    <definedName name="WBNA" localSheetId="18">#REF!</definedName>
    <definedName name="WBNA" localSheetId="6">#REF!</definedName>
    <definedName name="WBNA">#REF!</definedName>
    <definedName name="WillBe">[1]List!$A$2:$A$4</definedName>
    <definedName name="Window">[1]List!$A$34:$A$37</definedName>
    <definedName name="X">[1]List!$A$5</definedName>
    <definedName name="Xs" localSheetId="7">#REF!</definedName>
    <definedName name="Xs" localSheetId="18">#REF!</definedName>
    <definedName name="Xs" localSheetId="6">#REF!</definedName>
    <definedName name="Xs" localSheetId="9">#REF!</definedName>
    <definedName name="Xs">#REF!</definedName>
    <definedName name="Yes" localSheetId="7">#REF!</definedName>
    <definedName name="Yes" localSheetId="8">#REF!</definedName>
    <definedName name="Yes" localSheetId="19">#REF!</definedName>
    <definedName name="Yes" localSheetId="18">#REF!</definedName>
    <definedName name="Yes" localSheetId="6">#REF!</definedName>
    <definedName name="Yes" localSheetId="9">#REF!</definedName>
    <definedName name="Yes" localSheetId="12">#REF!</definedName>
    <definedName name="Yes" localSheetId="17">#REF!</definedName>
    <definedName name="Yes">#REF!</definedName>
    <definedName name="YesNA">[1]List!$G$9:$G$11</definedName>
    <definedName name="YesNAs" localSheetId="7">#REF!</definedName>
    <definedName name="YesNAs" localSheetId="18">#REF!</definedName>
    <definedName name="YesNAs" localSheetId="6">#REF!</definedName>
    <definedName name="YesNAs" localSheetId="9">#REF!</definedName>
    <definedName name="YesNAs">#REF!</definedName>
    <definedName name="YesNo" localSheetId="15">'[5]Lookup Info'!$Y$2:$Y$3</definedName>
    <definedName name="YesNo" localSheetId="7">[7]Lists!$C$9:$C$11</definedName>
    <definedName name="YesNo" localSheetId="16">'[5]Lookup Info'!$Y$2:$Y$3</definedName>
    <definedName name="YesNo" localSheetId="14">'[5]Lookup Info'!$Y$2:$Y$3</definedName>
    <definedName name="YesNo" localSheetId="8">[8]Lists!$C$9:$C$11</definedName>
    <definedName name="YesNo" localSheetId="19">[8]Lists!$C$9:$C$11</definedName>
    <definedName name="YesNo" localSheetId="18">[9]Lists!$C$9:$C$11</definedName>
    <definedName name="YesNo" localSheetId="6">[10]Lists!$C$9:$C$11</definedName>
    <definedName name="YesNo" localSheetId="9">[11]Lists!$C$9:$C$11</definedName>
    <definedName name="YesNo" localSheetId="12">[8]Lists!$C$9:$C$11</definedName>
    <definedName name="YesNo" localSheetId="13">'[5]Lookup Info'!$Y$2:$Y$3</definedName>
    <definedName name="YesNo" localSheetId="17">[8]Lists!$C$9:$C$11</definedName>
    <definedName name="YesNo">[15]Lists!$C$9:$C$11</definedName>
    <definedName name="Yess" localSheetId="7">#REF!</definedName>
    <definedName name="Yess" localSheetId="18">#REF!</definedName>
    <definedName name="Yess" localSheetId="6">#REF!</definedName>
    <definedName name="Yess" localSheetId="9">#REF!</definedName>
    <definedName name="Yess">#REF!</definedName>
    <definedName name="Yyes" localSheetId="7">#REF!</definedName>
    <definedName name="Yyes" localSheetId="18">#REF!</definedName>
    <definedName name="Yyes" localSheetId="9">#REF!</definedName>
    <definedName name="Yyes">#REF!</definedName>
    <definedName name="Z_82DA15CD_5E49_4A86_B817_C8E74303E90F_.wvu.PrintArea" localSheetId="7" hidden="1">'Ancillary Costs'!$B$1:$S$8</definedName>
    <definedName name="Z_82DA15CD_5E49_4A86_B817_C8E74303E90F_.wvu.PrintArea" localSheetId="12" hidden="1">'Old Test Form'!$A$1:$R$139</definedName>
    <definedName name="Zero" localSheetId="7">#REF!</definedName>
    <definedName name="Zero" localSheetId="18">#REF!</definedName>
    <definedName name="Zero" localSheetId="9">#REF!</definedName>
    <definedName name="Zero">#REF!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K10" i="15" l="1"/>
  <c r="CC10" i="15"/>
  <c r="BV10" i="15"/>
  <c r="DI9" i="15"/>
  <c r="DC9" i="15"/>
  <c r="CT9" i="15"/>
  <c r="CK9" i="15"/>
  <c r="CC9" i="15"/>
  <c r="BV9" i="15"/>
  <c r="DI8" i="15"/>
  <c r="DC8" i="15"/>
  <c r="CT8" i="15"/>
  <c r="CK8" i="15"/>
  <c r="CC8" i="15"/>
  <c r="BV8" i="15"/>
  <c r="BB7" i="15"/>
  <c r="AZ9" i="15"/>
  <c r="AZ8" i="15"/>
  <c r="AW9" i="15"/>
  <c r="AW8" i="15"/>
  <c r="BN9" i="15"/>
  <c r="BN8" i="15"/>
  <c r="DI7" i="15"/>
  <c r="DC7" i="15"/>
  <c r="DI6" i="15"/>
  <c r="DC6" i="15"/>
  <c r="CT7" i="15"/>
  <c r="CT6" i="15"/>
  <c r="CK7" i="15"/>
  <c r="CK6" i="15"/>
  <c r="CC7" i="15"/>
  <c r="CC6" i="15"/>
  <c r="BV7" i="15"/>
  <c r="BV6" i="15"/>
  <c r="AZ7" i="15"/>
  <c r="AZ6" i="15"/>
  <c r="AW7" i="15"/>
  <c r="AW6" i="15"/>
  <c r="AW5" i="15"/>
  <c r="T15" i="14"/>
  <c r="N15" i="14" s="1"/>
  <c r="J6" i="20" s="1"/>
  <c r="H82" i="14"/>
  <c r="E9" i="16"/>
  <c r="D9" i="16"/>
  <c r="C9" i="16"/>
  <c r="G214" i="30"/>
  <c r="G213" i="30"/>
  <c r="F193" i="30"/>
  <c r="D17" i="31"/>
  <c r="D16" i="31"/>
  <c r="D15" i="31"/>
  <c r="L27" i="29"/>
  <c r="J27" i="29"/>
  <c r="I27" i="29"/>
  <c r="F194" i="30"/>
  <c r="F210" i="30" s="1"/>
  <c r="F236" i="30" s="1"/>
  <c r="M27" i="29" s="1"/>
  <c r="J910" i="30"/>
  <c r="A910" i="30"/>
  <c r="J909" i="30"/>
  <c r="A909" i="30"/>
  <c r="J908" i="30"/>
  <c r="A908" i="30"/>
  <c r="J907" i="30"/>
  <c r="A907" i="30"/>
  <c r="J906" i="30"/>
  <c r="A906" i="30"/>
  <c r="J905" i="30"/>
  <c r="A905" i="30"/>
  <c r="J904" i="30"/>
  <c r="A904" i="30"/>
  <c r="J903" i="30"/>
  <c r="A903" i="30"/>
  <c r="J902" i="30"/>
  <c r="A902" i="30"/>
  <c r="J901" i="30"/>
  <c r="A901" i="30"/>
  <c r="J900" i="30"/>
  <c r="F900" i="30"/>
  <c r="A900" i="30"/>
  <c r="J899" i="30"/>
  <c r="F899" i="30"/>
  <c r="A899" i="30"/>
  <c r="J898" i="30"/>
  <c r="F898" i="30"/>
  <c r="F907" i="30" s="1"/>
  <c r="A898" i="30"/>
  <c r="J897" i="30"/>
  <c r="A897" i="30"/>
  <c r="J896" i="30"/>
  <c r="F896" i="30"/>
  <c r="A896" i="30"/>
  <c r="J895" i="30"/>
  <c r="F895" i="30"/>
  <c r="A895" i="30"/>
  <c r="J894" i="30"/>
  <c r="A894" i="30"/>
  <c r="F894" i="30" s="1"/>
  <c r="F904" i="30" s="1"/>
  <c r="J893" i="30"/>
  <c r="A893" i="30"/>
  <c r="J892" i="30"/>
  <c r="A892" i="30"/>
  <c r="J891" i="30"/>
  <c r="A891" i="30"/>
  <c r="J890" i="30"/>
  <c r="A890" i="30"/>
  <c r="J889" i="30"/>
  <c r="A889" i="30"/>
  <c r="J888" i="30"/>
  <c r="A888" i="30"/>
  <c r="J887" i="30"/>
  <c r="A887" i="30"/>
  <c r="J886" i="30"/>
  <c r="A886" i="30"/>
  <c r="J885" i="30"/>
  <c r="A885" i="30"/>
  <c r="J884" i="30"/>
  <c r="A884" i="30"/>
  <c r="J883" i="30"/>
  <c r="F883" i="30"/>
  <c r="A883" i="30"/>
  <c r="J882" i="30"/>
  <c r="A882" i="30"/>
  <c r="J881" i="30"/>
  <c r="F881" i="30"/>
  <c r="A881" i="30"/>
  <c r="J880" i="30"/>
  <c r="A880" i="30"/>
  <c r="F880" i="30" s="1"/>
  <c r="F890" i="30" s="1"/>
  <c r="J879" i="30"/>
  <c r="A879" i="30"/>
  <c r="J878" i="30"/>
  <c r="F878" i="30"/>
  <c r="A878" i="30"/>
  <c r="J877" i="30"/>
  <c r="A877" i="30"/>
  <c r="J876" i="30"/>
  <c r="F876" i="30"/>
  <c r="A876" i="30"/>
  <c r="J875" i="30"/>
  <c r="F875" i="30"/>
  <c r="F887" i="30" s="1"/>
  <c r="A875" i="30"/>
  <c r="J874" i="30"/>
  <c r="A874" i="30"/>
  <c r="J873" i="30"/>
  <c r="A873" i="30"/>
  <c r="J872" i="30"/>
  <c r="A872" i="30"/>
  <c r="J871" i="30"/>
  <c r="A871" i="30"/>
  <c r="J870" i="30"/>
  <c r="A870" i="30"/>
  <c r="J869" i="30"/>
  <c r="A869" i="30"/>
  <c r="J868" i="30"/>
  <c r="A868" i="30"/>
  <c r="J867" i="30"/>
  <c r="F867" i="30"/>
  <c r="A867" i="30"/>
  <c r="J866" i="30"/>
  <c r="A866" i="30"/>
  <c r="J865" i="30"/>
  <c r="A865" i="30"/>
  <c r="J864" i="30"/>
  <c r="A864" i="30"/>
  <c r="J863" i="30"/>
  <c r="A863" i="30"/>
  <c r="J862" i="30"/>
  <c r="A862" i="30"/>
  <c r="J861" i="30"/>
  <c r="A861" i="30"/>
  <c r="J860" i="30"/>
  <c r="A860" i="30"/>
  <c r="J859" i="30"/>
  <c r="A859" i="30"/>
  <c r="J858" i="30"/>
  <c r="A858" i="30"/>
  <c r="J857" i="30"/>
  <c r="A857" i="30"/>
  <c r="J856" i="30"/>
  <c r="A856" i="30"/>
  <c r="J855" i="30"/>
  <c r="A855" i="30"/>
  <c r="J854" i="30"/>
  <c r="A854" i="30"/>
  <c r="J853" i="30"/>
  <c r="F853" i="30"/>
  <c r="A853" i="30"/>
  <c r="J852" i="30"/>
  <c r="F852" i="30"/>
  <c r="A852" i="30"/>
  <c r="J851" i="30"/>
  <c r="A851" i="30"/>
  <c r="F851" i="30" s="1"/>
  <c r="J850" i="30"/>
  <c r="A850" i="30"/>
  <c r="J849" i="30"/>
  <c r="A849" i="30"/>
  <c r="J848" i="30"/>
  <c r="F848" i="30"/>
  <c r="A848" i="30"/>
  <c r="J847" i="30"/>
  <c r="F847" i="30"/>
  <c r="A847" i="30"/>
  <c r="J846" i="30"/>
  <c r="F846" i="30"/>
  <c r="A846" i="30"/>
  <c r="J845" i="30"/>
  <c r="A845" i="30"/>
  <c r="J844" i="30"/>
  <c r="F844" i="30"/>
  <c r="A844" i="30"/>
  <c r="J843" i="30"/>
  <c r="A843" i="30"/>
  <c r="J842" i="30"/>
  <c r="A842" i="30"/>
  <c r="J841" i="30"/>
  <c r="F841" i="30"/>
  <c r="A841" i="30"/>
  <c r="J840" i="30"/>
  <c r="F840" i="30"/>
  <c r="A840" i="30"/>
  <c r="J839" i="30"/>
  <c r="F839" i="30"/>
  <c r="A839" i="30"/>
  <c r="J838" i="30"/>
  <c r="F838" i="30"/>
  <c r="A838" i="30"/>
  <c r="J837" i="30"/>
  <c r="F837" i="30"/>
  <c r="F857" i="30" s="1"/>
  <c r="A837" i="30"/>
  <c r="J836" i="30"/>
  <c r="A836" i="30"/>
  <c r="J835" i="30"/>
  <c r="A835" i="30"/>
  <c r="J834" i="30"/>
  <c r="A834" i="30"/>
  <c r="J833" i="30"/>
  <c r="A833" i="30"/>
  <c r="F833" i="30" s="1"/>
  <c r="J832" i="30"/>
  <c r="A832" i="30"/>
  <c r="J831" i="30"/>
  <c r="A831" i="30"/>
  <c r="J830" i="30"/>
  <c r="A830" i="30"/>
  <c r="J829" i="30"/>
  <c r="A829" i="30"/>
  <c r="J828" i="30"/>
  <c r="A828" i="30"/>
  <c r="J827" i="30"/>
  <c r="A827" i="30"/>
  <c r="J826" i="30"/>
  <c r="A826" i="30"/>
  <c r="J825" i="30"/>
  <c r="A825" i="30"/>
  <c r="J824" i="30"/>
  <c r="A824" i="30"/>
  <c r="J823" i="30"/>
  <c r="A823" i="30"/>
  <c r="J822" i="30"/>
  <c r="F822" i="30"/>
  <c r="A822" i="30"/>
  <c r="J821" i="30"/>
  <c r="F821" i="30"/>
  <c r="A821" i="30"/>
  <c r="J820" i="30"/>
  <c r="A820" i="30"/>
  <c r="J819" i="30"/>
  <c r="F819" i="30"/>
  <c r="A819" i="30"/>
  <c r="J818" i="30"/>
  <c r="A818" i="30"/>
  <c r="J817" i="30"/>
  <c r="A817" i="30"/>
  <c r="J816" i="30"/>
  <c r="F816" i="30"/>
  <c r="A816" i="30"/>
  <c r="J815" i="30"/>
  <c r="F815" i="30"/>
  <c r="A815" i="30"/>
  <c r="J814" i="30"/>
  <c r="F814" i="30"/>
  <c r="A814" i="30"/>
  <c r="J813" i="30"/>
  <c r="A813" i="30"/>
  <c r="J812" i="30"/>
  <c r="F812" i="30"/>
  <c r="F826" i="30" s="1"/>
  <c r="A812" i="30"/>
  <c r="J811" i="30"/>
  <c r="A811" i="30"/>
  <c r="J810" i="30"/>
  <c r="A810" i="30"/>
  <c r="J809" i="30"/>
  <c r="F809" i="30"/>
  <c r="A809" i="30"/>
  <c r="J808" i="30"/>
  <c r="F808" i="30"/>
  <c r="F825" i="30" s="1"/>
  <c r="F872" i="30" s="1"/>
  <c r="A808" i="30"/>
  <c r="J807" i="30"/>
  <c r="F807" i="30"/>
  <c r="A807" i="30"/>
  <c r="J806" i="30"/>
  <c r="F806" i="30"/>
  <c r="A806" i="30"/>
  <c r="J805" i="30"/>
  <c r="F805" i="30"/>
  <c r="A805" i="30"/>
  <c r="J804" i="30"/>
  <c r="A804" i="30"/>
  <c r="J803" i="30"/>
  <c r="A803" i="30"/>
  <c r="J802" i="30"/>
  <c r="A802" i="30"/>
  <c r="J801" i="30"/>
  <c r="A801" i="30"/>
  <c r="J800" i="30"/>
  <c r="F800" i="30"/>
  <c r="A800" i="30"/>
  <c r="J799" i="30"/>
  <c r="F799" i="30"/>
  <c r="A799" i="30"/>
  <c r="J798" i="30"/>
  <c r="A798" i="30"/>
  <c r="J797" i="30"/>
  <c r="A797" i="30"/>
  <c r="J796" i="30"/>
  <c r="F796" i="30"/>
  <c r="A796" i="30"/>
  <c r="J795" i="30"/>
  <c r="A795" i="30"/>
  <c r="J794" i="30"/>
  <c r="A794" i="30"/>
  <c r="J793" i="30"/>
  <c r="F793" i="30"/>
  <c r="A793" i="30"/>
  <c r="J792" i="30"/>
  <c r="F792" i="30"/>
  <c r="A792" i="30"/>
  <c r="J791" i="30"/>
  <c r="F791" i="30"/>
  <c r="A791" i="30"/>
  <c r="J790" i="30"/>
  <c r="F790" i="30"/>
  <c r="F804" i="30" s="1"/>
  <c r="A790" i="30"/>
  <c r="J789" i="30"/>
  <c r="F789" i="30"/>
  <c r="F803" i="30" s="1"/>
  <c r="A789" i="30"/>
  <c r="J788" i="30"/>
  <c r="A788" i="30"/>
  <c r="J787" i="30"/>
  <c r="A787" i="30"/>
  <c r="J786" i="30"/>
  <c r="A786" i="30"/>
  <c r="J785" i="30"/>
  <c r="A785" i="30"/>
  <c r="J784" i="30"/>
  <c r="A784" i="30"/>
  <c r="J783" i="30"/>
  <c r="A783" i="30"/>
  <c r="J782" i="30"/>
  <c r="A782" i="30"/>
  <c r="J781" i="30"/>
  <c r="A781" i="30"/>
  <c r="J780" i="30"/>
  <c r="A780" i="30"/>
  <c r="J779" i="30"/>
  <c r="A779" i="30"/>
  <c r="J778" i="30"/>
  <c r="A778" i="30"/>
  <c r="J777" i="30"/>
  <c r="A777" i="30"/>
  <c r="J776" i="30"/>
  <c r="A776" i="30"/>
  <c r="J775" i="30"/>
  <c r="A775" i="30"/>
  <c r="J774" i="30"/>
  <c r="A774" i="30"/>
  <c r="J773" i="30"/>
  <c r="A773" i="30"/>
  <c r="J772" i="30"/>
  <c r="A772" i="30"/>
  <c r="J771" i="30"/>
  <c r="A771" i="30"/>
  <c r="J770" i="30"/>
  <c r="A770" i="30"/>
  <c r="J769" i="30"/>
  <c r="F769" i="30"/>
  <c r="A769" i="30"/>
  <c r="J768" i="30"/>
  <c r="F768" i="30"/>
  <c r="A768" i="30"/>
  <c r="J767" i="30"/>
  <c r="A767" i="30"/>
  <c r="J766" i="30"/>
  <c r="A766" i="30"/>
  <c r="J765" i="30"/>
  <c r="A765" i="30"/>
  <c r="J764" i="30"/>
  <c r="A764" i="30"/>
  <c r="F764" i="30" s="1"/>
  <c r="F771" i="30" s="1"/>
  <c r="J763" i="30"/>
  <c r="A763" i="30"/>
  <c r="J762" i="30"/>
  <c r="F762" i="30"/>
  <c r="A762" i="30"/>
  <c r="J761" i="30"/>
  <c r="F761" i="30"/>
  <c r="A761" i="30"/>
  <c r="J760" i="30"/>
  <c r="F760" i="30"/>
  <c r="F772" i="30" s="1"/>
  <c r="A760" i="30"/>
  <c r="J759" i="30"/>
  <c r="A759" i="30"/>
  <c r="J758" i="30"/>
  <c r="A758" i="30"/>
  <c r="J757" i="30"/>
  <c r="A757" i="30"/>
  <c r="J756" i="30"/>
  <c r="F756" i="30"/>
  <c r="A756" i="30"/>
  <c r="J755" i="30"/>
  <c r="A755" i="30"/>
  <c r="J754" i="30"/>
  <c r="A754" i="30"/>
  <c r="J753" i="30"/>
  <c r="A753" i="30"/>
  <c r="J752" i="30"/>
  <c r="A752" i="30"/>
  <c r="J751" i="30"/>
  <c r="A751" i="30"/>
  <c r="J750" i="30"/>
  <c r="A750" i="30"/>
  <c r="J749" i="30"/>
  <c r="F749" i="30"/>
  <c r="A749" i="30"/>
  <c r="J748" i="30"/>
  <c r="A748" i="30"/>
  <c r="J747" i="30"/>
  <c r="A747" i="30"/>
  <c r="J746" i="30"/>
  <c r="F746" i="30"/>
  <c r="A746" i="30"/>
  <c r="J745" i="30"/>
  <c r="F745" i="30"/>
  <c r="A745" i="30"/>
  <c r="J744" i="30"/>
  <c r="A744" i="30"/>
  <c r="J743" i="30"/>
  <c r="A743" i="30"/>
  <c r="J742" i="30"/>
  <c r="A742" i="30"/>
  <c r="J741" i="30"/>
  <c r="F741" i="30"/>
  <c r="A741" i="30"/>
  <c r="J740" i="30"/>
  <c r="A740" i="30"/>
  <c r="J739" i="30"/>
  <c r="F739" i="30"/>
  <c r="A739" i="30"/>
  <c r="J738" i="30"/>
  <c r="F738" i="30"/>
  <c r="A738" i="30"/>
  <c r="J737" i="30"/>
  <c r="F737" i="30"/>
  <c r="F748" i="30" s="1"/>
  <c r="F786" i="30" s="1"/>
  <c r="A737" i="30"/>
  <c r="J736" i="30"/>
  <c r="A736" i="30"/>
  <c r="J735" i="30"/>
  <c r="A735" i="30"/>
  <c r="J734" i="30"/>
  <c r="F734" i="30"/>
  <c r="A734" i="30"/>
  <c r="J733" i="30"/>
  <c r="F733" i="30"/>
  <c r="A733" i="30"/>
  <c r="J732" i="30"/>
  <c r="A732" i="30"/>
  <c r="J731" i="30"/>
  <c r="A731" i="30"/>
  <c r="J730" i="30"/>
  <c r="A730" i="30"/>
  <c r="J729" i="30"/>
  <c r="A729" i="30"/>
  <c r="J728" i="30"/>
  <c r="A728" i="30"/>
  <c r="J727" i="30"/>
  <c r="F727" i="30"/>
  <c r="A727" i="30"/>
  <c r="J726" i="30"/>
  <c r="A726" i="30"/>
  <c r="J725" i="30"/>
  <c r="F725" i="30"/>
  <c r="F781" i="30" s="1"/>
  <c r="A725" i="30"/>
  <c r="J724" i="30"/>
  <c r="F724" i="30"/>
  <c r="A724" i="30"/>
  <c r="J723" i="30"/>
  <c r="F723" i="30"/>
  <c r="F736" i="30" s="1"/>
  <c r="A723" i="30"/>
  <c r="J722" i="30"/>
  <c r="A722" i="30"/>
  <c r="J721" i="30"/>
  <c r="A721" i="30"/>
  <c r="J720" i="30"/>
  <c r="A720" i="30"/>
  <c r="J719" i="30"/>
  <c r="A719" i="30"/>
  <c r="J718" i="30"/>
  <c r="A718" i="30"/>
  <c r="J717" i="30"/>
  <c r="A717" i="30"/>
  <c r="J716" i="30"/>
  <c r="A716" i="30"/>
  <c r="J715" i="30"/>
  <c r="F715" i="30"/>
  <c r="A715" i="30"/>
  <c r="J714" i="30"/>
  <c r="A714" i="30"/>
  <c r="J713" i="30"/>
  <c r="A713" i="30"/>
  <c r="J712" i="30"/>
  <c r="A712" i="30"/>
  <c r="J711" i="30"/>
  <c r="A711" i="30"/>
  <c r="J710" i="30"/>
  <c r="A710" i="30"/>
  <c r="J709" i="30"/>
  <c r="A709" i="30"/>
  <c r="J708" i="30"/>
  <c r="A708" i="30"/>
  <c r="J707" i="30"/>
  <c r="A707" i="30"/>
  <c r="J706" i="30"/>
  <c r="A706" i="30"/>
  <c r="J705" i="30"/>
  <c r="A705" i="30"/>
  <c r="J704" i="30"/>
  <c r="A704" i="30"/>
  <c r="J703" i="30"/>
  <c r="A703" i="30"/>
  <c r="J702" i="30"/>
  <c r="A702" i="30"/>
  <c r="J701" i="30"/>
  <c r="F701" i="30"/>
  <c r="A701" i="30"/>
  <c r="J700" i="30"/>
  <c r="F700" i="30"/>
  <c r="A700" i="30"/>
  <c r="J699" i="30"/>
  <c r="A699" i="30"/>
  <c r="F699" i="30" s="1"/>
  <c r="F705" i="30" s="1"/>
  <c r="J698" i="30"/>
  <c r="A698" i="30"/>
  <c r="J697" i="30"/>
  <c r="A697" i="30"/>
  <c r="J696" i="30"/>
  <c r="F696" i="30"/>
  <c r="A696" i="30"/>
  <c r="J695" i="30"/>
  <c r="F695" i="30"/>
  <c r="A695" i="30"/>
  <c r="J694" i="30"/>
  <c r="F694" i="30"/>
  <c r="F706" i="30" s="1"/>
  <c r="A694" i="30"/>
  <c r="J693" i="30"/>
  <c r="A693" i="30"/>
  <c r="J692" i="30"/>
  <c r="A692" i="30"/>
  <c r="J691" i="30"/>
  <c r="A691" i="30"/>
  <c r="J690" i="30"/>
  <c r="A690" i="30"/>
  <c r="F690" i="30" s="1"/>
  <c r="J689" i="30"/>
  <c r="A689" i="30"/>
  <c r="J688" i="30"/>
  <c r="A688" i="30"/>
  <c r="J687" i="30"/>
  <c r="A687" i="30"/>
  <c r="J686" i="30"/>
  <c r="A686" i="30"/>
  <c r="J685" i="30"/>
  <c r="A685" i="30"/>
  <c r="J684" i="30"/>
  <c r="A684" i="30"/>
  <c r="J683" i="30"/>
  <c r="A683" i="30"/>
  <c r="J682" i="30"/>
  <c r="A682" i="30"/>
  <c r="J681" i="30"/>
  <c r="A681" i="30"/>
  <c r="J680" i="30"/>
  <c r="A680" i="30"/>
  <c r="J679" i="30"/>
  <c r="A679" i="30"/>
  <c r="J678" i="30"/>
  <c r="F678" i="30"/>
  <c r="A678" i="30"/>
  <c r="J677" i="30"/>
  <c r="F677" i="30"/>
  <c r="A677" i="30"/>
  <c r="J676" i="30"/>
  <c r="A676" i="30"/>
  <c r="F676" i="30" s="1"/>
  <c r="J675" i="30"/>
  <c r="A675" i="30"/>
  <c r="J674" i="30"/>
  <c r="A674" i="30"/>
  <c r="J673" i="30"/>
  <c r="F673" i="30"/>
  <c r="A673" i="30"/>
  <c r="J672" i="30"/>
  <c r="F672" i="30"/>
  <c r="A672" i="30"/>
  <c r="J671" i="30"/>
  <c r="F671" i="30"/>
  <c r="F683" i="30" s="1"/>
  <c r="A671" i="30"/>
  <c r="J670" i="30"/>
  <c r="A670" i="30"/>
  <c r="J669" i="30"/>
  <c r="A669" i="30"/>
  <c r="J668" i="30"/>
  <c r="A668" i="30"/>
  <c r="J667" i="30"/>
  <c r="A667" i="30"/>
  <c r="J666" i="30"/>
  <c r="F666" i="30"/>
  <c r="A666" i="30"/>
  <c r="J665" i="30"/>
  <c r="F665" i="30"/>
  <c r="A665" i="30"/>
  <c r="J664" i="30"/>
  <c r="A664" i="30"/>
  <c r="J663" i="30"/>
  <c r="A663" i="30"/>
  <c r="J662" i="30"/>
  <c r="A662" i="30"/>
  <c r="F662" i="30" s="1"/>
  <c r="F670" i="30" s="1"/>
  <c r="J661" i="30"/>
  <c r="A661" i="30"/>
  <c r="J660" i="30"/>
  <c r="A660" i="30"/>
  <c r="J659" i="30"/>
  <c r="F659" i="30"/>
  <c r="A659" i="30"/>
  <c r="J658" i="30"/>
  <c r="F658" i="30"/>
  <c r="A658" i="30"/>
  <c r="J657" i="30"/>
  <c r="F657" i="30"/>
  <c r="A657" i="30"/>
  <c r="J656" i="30"/>
  <c r="A656" i="30"/>
  <c r="J655" i="30"/>
  <c r="A655" i="30"/>
  <c r="J654" i="30"/>
  <c r="A654" i="30"/>
  <c r="J653" i="30"/>
  <c r="A653" i="30"/>
  <c r="J652" i="30"/>
  <c r="A652" i="30"/>
  <c r="J651" i="30"/>
  <c r="A651" i="30"/>
  <c r="J650" i="30"/>
  <c r="A650" i="30"/>
  <c r="J649" i="30"/>
  <c r="F649" i="30"/>
  <c r="A649" i="30"/>
  <c r="J648" i="30"/>
  <c r="A648" i="30"/>
  <c r="J647" i="30"/>
  <c r="A647" i="30"/>
  <c r="J646" i="30"/>
  <c r="A646" i="30"/>
  <c r="J645" i="30"/>
  <c r="A645" i="30"/>
  <c r="J644" i="30"/>
  <c r="A644" i="30"/>
  <c r="J643" i="30"/>
  <c r="A643" i="30"/>
  <c r="J642" i="30"/>
  <c r="A642" i="30"/>
  <c r="J641" i="30"/>
  <c r="A641" i="30"/>
  <c r="J640" i="30"/>
  <c r="A640" i="30"/>
  <c r="J639" i="30"/>
  <c r="A639" i="30"/>
  <c r="J638" i="30"/>
  <c r="A638" i="30"/>
  <c r="J637" i="30"/>
  <c r="A637" i="30"/>
  <c r="J636" i="30"/>
  <c r="A636" i="30"/>
  <c r="J635" i="30"/>
  <c r="F635" i="30"/>
  <c r="A635" i="30"/>
  <c r="J634" i="30"/>
  <c r="F634" i="30"/>
  <c r="A634" i="30"/>
  <c r="J633" i="30"/>
  <c r="A633" i="30"/>
  <c r="F633" i="30" s="1"/>
  <c r="J632" i="30"/>
  <c r="A632" i="30"/>
  <c r="J631" i="30"/>
  <c r="A631" i="30"/>
  <c r="J630" i="30"/>
  <c r="F630" i="30"/>
  <c r="A630" i="30"/>
  <c r="J629" i="30"/>
  <c r="F629" i="30"/>
  <c r="A629" i="30"/>
  <c r="J628" i="30"/>
  <c r="F628" i="30"/>
  <c r="F640" i="30" s="1"/>
  <c r="A628" i="30"/>
  <c r="J627" i="30"/>
  <c r="A627" i="30"/>
  <c r="J626" i="30"/>
  <c r="A626" i="30"/>
  <c r="J625" i="30"/>
  <c r="A625" i="30"/>
  <c r="J624" i="30"/>
  <c r="A624" i="30"/>
  <c r="F624" i="30" s="1"/>
  <c r="J623" i="30"/>
  <c r="A623" i="30"/>
  <c r="J622" i="30"/>
  <c r="A622" i="30"/>
  <c r="J621" i="30"/>
  <c r="A621" i="30"/>
  <c r="J620" i="30"/>
  <c r="A620" i="30"/>
  <c r="J619" i="30"/>
  <c r="A619" i="30"/>
  <c r="J618" i="30"/>
  <c r="A618" i="30"/>
  <c r="J617" i="30"/>
  <c r="A617" i="30"/>
  <c r="J616" i="30"/>
  <c r="A616" i="30"/>
  <c r="J615" i="30"/>
  <c r="A615" i="30"/>
  <c r="J614" i="30"/>
  <c r="A614" i="30"/>
  <c r="J613" i="30"/>
  <c r="A613" i="30"/>
  <c r="J612" i="30"/>
  <c r="F612" i="30"/>
  <c r="A612" i="30"/>
  <c r="J611" i="30"/>
  <c r="F611" i="30"/>
  <c r="A611" i="30"/>
  <c r="J610" i="30"/>
  <c r="F610" i="30"/>
  <c r="A610" i="30"/>
  <c r="J609" i="30"/>
  <c r="A609" i="30"/>
  <c r="J608" i="30"/>
  <c r="A608" i="30"/>
  <c r="J607" i="30"/>
  <c r="F607" i="30"/>
  <c r="A607" i="30"/>
  <c r="J606" i="30"/>
  <c r="F606" i="30"/>
  <c r="F617" i="30" s="1"/>
  <c r="A606" i="30"/>
  <c r="J605" i="30"/>
  <c r="F605" i="30"/>
  <c r="A605" i="30"/>
  <c r="J604" i="30"/>
  <c r="A604" i="30"/>
  <c r="J603" i="30"/>
  <c r="A603" i="30"/>
  <c r="J602" i="30"/>
  <c r="A602" i="30"/>
  <c r="J601" i="30"/>
  <c r="A601" i="30"/>
  <c r="J600" i="30"/>
  <c r="F600" i="30"/>
  <c r="A600" i="30"/>
  <c r="J599" i="30"/>
  <c r="F599" i="30"/>
  <c r="A599" i="30"/>
  <c r="J598" i="30"/>
  <c r="A598" i="30"/>
  <c r="J597" i="30"/>
  <c r="A597" i="30"/>
  <c r="J596" i="30"/>
  <c r="F596" i="30"/>
  <c r="A596" i="30"/>
  <c r="J595" i="30"/>
  <c r="A595" i="30"/>
  <c r="J594" i="30"/>
  <c r="A594" i="30"/>
  <c r="J593" i="30"/>
  <c r="F593" i="30"/>
  <c r="A593" i="30"/>
  <c r="J592" i="30"/>
  <c r="F592" i="30"/>
  <c r="F604" i="30" s="1"/>
  <c r="A592" i="30"/>
  <c r="J591" i="30"/>
  <c r="F591" i="30"/>
  <c r="F603" i="30" s="1"/>
  <c r="A591" i="30"/>
  <c r="J590" i="30"/>
  <c r="A590" i="30"/>
  <c r="J589" i="30"/>
  <c r="A589" i="30"/>
  <c r="J588" i="30"/>
  <c r="A588" i="30"/>
  <c r="J587" i="30"/>
  <c r="A587" i="30"/>
  <c r="J586" i="30"/>
  <c r="A586" i="30"/>
  <c r="J585" i="30"/>
  <c r="A585" i="30"/>
  <c r="J584" i="30"/>
  <c r="A584" i="30"/>
  <c r="J583" i="30"/>
  <c r="A583" i="30"/>
  <c r="J582" i="30"/>
  <c r="A582" i="30"/>
  <c r="J581" i="30"/>
  <c r="A581" i="30"/>
  <c r="J580" i="30"/>
  <c r="A580" i="30"/>
  <c r="J579" i="30"/>
  <c r="A579" i="30"/>
  <c r="J578" i="30"/>
  <c r="A578" i="30"/>
  <c r="J577" i="30"/>
  <c r="A577" i="30"/>
  <c r="J576" i="30"/>
  <c r="A576" i="30"/>
  <c r="J575" i="30"/>
  <c r="A575" i="30"/>
  <c r="J574" i="30"/>
  <c r="A574" i="30"/>
  <c r="J573" i="30"/>
  <c r="A573" i="30"/>
  <c r="J572" i="30"/>
  <c r="A572" i="30"/>
  <c r="J571" i="30"/>
  <c r="A571" i="30"/>
  <c r="J570" i="30"/>
  <c r="A570" i="30"/>
  <c r="J569" i="30"/>
  <c r="F569" i="30"/>
  <c r="A569" i="30"/>
  <c r="J568" i="30"/>
  <c r="F568" i="30"/>
  <c r="F573" i="30" s="1"/>
  <c r="A568" i="30"/>
  <c r="J567" i="30"/>
  <c r="F567" i="30"/>
  <c r="A567" i="30"/>
  <c r="J566" i="30"/>
  <c r="A566" i="30"/>
  <c r="J565" i="30"/>
  <c r="A565" i="30"/>
  <c r="J564" i="30"/>
  <c r="F564" i="30"/>
  <c r="A564" i="30"/>
  <c r="J563" i="30"/>
  <c r="F563" i="30"/>
  <c r="A563" i="30"/>
  <c r="J562" i="30"/>
  <c r="F562" i="30"/>
  <c r="F574" i="30" s="1"/>
  <c r="A562" i="30"/>
  <c r="J561" i="30"/>
  <c r="A561" i="30"/>
  <c r="J560" i="30"/>
  <c r="A560" i="30"/>
  <c r="J559" i="30"/>
  <c r="A559" i="30"/>
  <c r="J558" i="30"/>
  <c r="F558" i="30"/>
  <c r="A558" i="30"/>
  <c r="J557" i="30"/>
  <c r="A557" i="30"/>
  <c r="J556" i="30"/>
  <c r="A556" i="30"/>
  <c r="J555" i="30"/>
  <c r="A555" i="30"/>
  <c r="J554" i="30"/>
  <c r="A554" i="30"/>
  <c r="J553" i="30"/>
  <c r="A553" i="30"/>
  <c r="J552" i="30"/>
  <c r="A552" i="30"/>
  <c r="J551" i="30"/>
  <c r="F551" i="30"/>
  <c r="A551" i="30"/>
  <c r="J550" i="30"/>
  <c r="A550" i="30"/>
  <c r="J549" i="30"/>
  <c r="A549" i="30"/>
  <c r="J548" i="30"/>
  <c r="A548" i="30"/>
  <c r="J547" i="30"/>
  <c r="A547" i="30"/>
  <c r="J546" i="30"/>
  <c r="F546" i="30"/>
  <c r="A546" i="30"/>
  <c r="J545" i="30"/>
  <c r="F545" i="30"/>
  <c r="A545" i="30"/>
  <c r="J544" i="30"/>
  <c r="F544" i="30"/>
  <c r="A544" i="30"/>
  <c r="J543" i="30"/>
  <c r="A543" i="30"/>
  <c r="J542" i="30"/>
  <c r="A542" i="30"/>
  <c r="J541" i="30"/>
  <c r="F541" i="30"/>
  <c r="A541" i="30"/>
  <c r="J540" i="30"/>
  <c r="F540" i="30"/>
  <c r="A540" i="30"/>
  <c r="J539" i="30"/>
  <c r="F539" i="30"/>
  <c r="F550" i="30" s="1"/>
  <c r="F588" i="30" s="1"/>
  <c r="A539" i="30"/>
  <c r="J538" i="30"/>
  <c r="A538" i="30"/>
  <c r="J537" i="30"/>
  <c r="A537" i="30"/>
  <c r="J536" i="30"/>
  <c r="A536" i="30"/>
  <c r="J535" i="30"/>
  <c r="A535" i="30"/>
  <c r="J534" i="30"/>
  <c r="F534" i="30"/>
  <c r="A534" i="30"/>
  <c r="J533" i="30"/>
  <c r="F533" i="30"/>
  <c r="A533" i="30"/>
  <c r="J532" i="30"/>
  <c r="A532" i="30"/>
  <c r="J531" i="30"/>
  <c r="A531" i="30"/>
  <c r="J530" i="30"/>
  <c r="F530" i="30"/>
  <c r="A530" i="30"/>
  <c r="J529" i="30"/>
  <c r="A529" i="30"/>
  <c r="J528" i="30"/>
  <c r="A528" i="30"/>
  <c r="J527" i="30"/>
  <c r="F527" i="30"/>
  <c r="F583" i="30" s="1"/>
  <c r="A527" i="30"/>
  <c r="J526" i="30"/>
  <c r="F526" i="30"/>
  <c r="F538" i="30" s="1"/>
  <c r="A526" i="30"/>
  <c r="J525" i="30"/>
  <c r="F525" i="30"/>
  <c r="F537" i="30" s="1"/>
  <c r="A525" i="30"/>
  <c r="J524" i="30"/>
  <c r="A524" i="30"/>
  <c r="J523" i="30"/>
  <c r="A523" i="30"/>
  <c r="J522" i="30"/>
  <c r="A522" i="30"/>
  <c r="J521" i="30"/>
  <c r="A521" i="30"/>
  <c r="J520" i="30"/>
  <c r="A520" i="30"/>
  <c r="J519" i="30"/>
  <c r="A519" i="30"/>
  <c r="J518" i="30"/>
  <c r="A518" i="30"/>
  <c r="J517" i="30"/>
  <c r="F517" i="30"/>
  <c r="A517" i="30"/>
  <c r="J516" i="30"/>
  <c r="A516" i="30"/>
  <c r="J515" i="30"/>
  <c r="A515" i="30"/>
  <c r="J514" i="30"/>
  <c r="A514" i="30"/>
  <c r="J513" i="30"/>
  <c r="A513" i="30"/>
  <c r="J512" i="30"/>
  <c r="A512" i="30"/>
  <c r="J511" i="30"/>
  <c r="A511" i="30"/>
  <c r="J510" i="30"/>
  <c r="A510" i="30"/>
  <c r="J509" i="30"/>
  <c r="A509" i="30"/>
  <c r="J508" i="30"/>
  <c r="A508" i="30"/>
  <c r="J507" i="30"/>
  <c r="A507" i="30"/>
  <c r="J506" i="30"/>
  <c r="A506" i="30"/>
  <c r="J505" i="30"/>
  <c r="F505" i="30"/>
  <c r="A505" i="30"/>
  <c r="J504" i="30"/>
  <c r="A504" i="30"/>
  <c r="J503" i="30"/>
  <c r="A503" i="30"/>
  <c r="J502" i="30"/>
  <c r="F502" i="30"/>
  <c r="A502" i="30"/>
  <c r="J501" i="30"/>
  <c r="F501" i="30"/>
  <c r="A501" i="30"/>
  <c r="J500" i="30"/>
  <c r="F500" i="30"/>
  <c r="F507" i="30" s="1"/>
  <c r="A500" i="30"/>
  <c r="J499" i="30"/>
  <c r="A499" i="30"/>
  <c r="J498" i="30"/>
  <c r="A498" i="30"/>
  <c r="J497" i="30"/>
  <c r="F497" i="30"/>
  <c r="A497" i="30"/>
  <c r="J496" i="30"/>
  <c r="F496" i="30"/>
  <c r="A496" i="30"/>
  <c r="J495" i="30"/>
  <c r="F495" i="30"/>
  <c r="F508" i="30" s="1"/>
  <c r="A495" i="30"/>
  <c r="J494" i="30"/>
  <c r="A494" i="30"/>
  <c r="J493" i="30"/>
  <c r="A493" i="30"/>
  <c r="J492" i="30"/>
  <c r="A492" i="30"/>
  <c r="J491" i="30"/>
  <c r="F491" i="30"/>
  <c r="A491" i="30"/>
  <c r="J490" i="30"/>
  <c r="A490" i="30"/>
  <c r="J489" i="30"/>
  <c r="A489" i="30"/>
  <c r="J488" i="30"/>
  <c r="F488" i="30"/>
  <c r="A488" i="30"/>
  <c r="J487" i="30"/>
  <c r="A487" i="30"/>
  <c r="J486" i="30"/>
  <c r="A486" i="30"/>
  <c r="J485" i="30"/>
  <c r="A485" i="30"/>
  <c r="J484" i="30"/>
  <c r="A484" i="30"/>
  <c r="J483" i="30"/>
  <c r="A483" i="30"/>
  <c r="J482" i="30"/>
  <c r="A482" i="30"/>
  <c r="J481" i="30"/>
  <c r="A481" i="30"/>
  <c r="J480" i="30"/>
  <c r="A480" i="30"/>
  <c r="J479" i="30"/>
  <c r="F479" i="30"/>
  <c r="A479" i="30"/>
  <c r="J478" i="30"/>
  <c r="F478" i="30"/>
  <c r="A478" i="30"/>
  <c r="J477" i="30"/>
  <c r="F477" i="30"/>
  <c r="F484" i="30" s="1"/>
  <c r="A477" i="30"/>
  <c r="J476" i="30"/>
  <c r="A476" i="30"/>
  <c r="J475" i="30"/>
  <c r="A475" i="30"/>
  <c r="J474" i="30"/>
  <c r="F474" i="30"/>
  <c r="A474" i="30"/>
  <c r="J473" i="30"/>
  <c r="F473" i="30"/>
  <c r="A473" i="30"/>
  <c r="J472" i="30"/>
  <c r="F472" i="30"/>
  <c r="F483" i="30" s="1"/>
  <c r="F522" i="30" s="1"/>
  <c r="A472" i="30"/>
  <c r="J471" i="30"/>
  <c r="A471" i="30"/>
  <c r="J470" i="30"/>
  <c r="A470" i="30"/>
  <c r="J469" i="30"/>
  <c r="A469" i="30"/>
  <c r="J468" i="30"/>
  <c r="F468" i="30"/>
  <c r="A468" i="30"/>
  <c r="J467" i="30"/>
  <c r="A467" i="30"/>
  <c r="J466" i="30"/>
  <c r="F466" i="30"/>
  <c r="A466" i="30"/>
  <c r="J465" i="30"/>
  <c r="F465" i="30"/>
  <c r="A465" i="30"/>
  <c r="J464" i="30"/>
  <c r="A464" i="30"/>
  <c r="J463" i="30"/>
  <c r="A463" i="30"/>
  <c r="J462" i="30"/>
  <c r="A462" i="30"/>
  <c r="F462" i="30" s="1"/>
  <c r="J461" i="30"/>
  <c r="A461" i="30"/>
  <c r="J460" i="30"/>
  <c r="A460" i="30"/>
  <c r="J459" i="30"/>
  <c r="F459" i="30"/>
  <c r="A459" i="30"/>
  <c r="J458" i="30"/>
  <c r="F458" i="30"/>
  <c r="A458" i="30"/>
  <c r="J457" i="30"/>
  <c r="F457" i="30"/>
  <c r="F471" i="30" s="1"/>
  <c r="A457" i="30"/>
  <c r="J456" i="30"/>
  <c r="A456" i="30"/>
  <c r="J455" i="30"/>
  <c r="A455" i="30"/>
  <c r="J454" i="30"/>
  <c r="A454" i="30"/>
  <c r="J453" i="30"/>
  <c r="A453" i="30"/>
  <c r="J452" i="30"/>
  <c r="A452" i="30"/>
  <c r="J451" i="30"/>
  <c r="A451" i="30"/>
  <c r="J450" i="30"/>
  <c r="A450" i="30"/>
  <c r="J449" i="30"/>
  <c r="A449" i="30"/>
  <c r="J448" i="30"/>
  <c r="A448" i="30"/>
  <c r="J447" i="30"/>
  <c r="A447" i="30"/>
  <c r="J446" i="30"/>
  <c r="A446" i="30"/>
  <c r="J445" i="30"/>
  <c r="A445" i="30"/>
  <c r="J444" i="30"/>
  <c r="A444" i="30"/>
  <c r="J443" i="30"/>
  <c r="A443" i="30"/>
  <c r="J442" i="30"/>
  <c r="A442" i="30"/>
  <c r="J441" i="30"/>
  <c r="A441" i="30"/>
  <c r="J440" i="30"/>
  <c r="A440" i="30"/>
  <c r="J439" i="30"/>
  <c r="A439" i="30"/>
  <c r="J438" i="30"/>
  <c r="A438" i="30"/>
  <c r="J437" i="30"/>
  <c r="F437" i="30"/>
  <c r="A437" i="30"/>
  <c r="J436" i="30"/>
  <c r="A436" i="30"/>
  <c r="J435" i="30"/>
  <c r="A435" i="30"/>
  <c r="J434" i="30"/>
  <c r="F434" i="30"/>
  <c r="A434" i="30"/>
  <c r="J433" i="30"/>
  <c r="F433" i="30"/>
  <c r="A433" i="30"/>
  <c r="J432" i="30"/>
  <c r="A432" i="30"/>
  <c r="F432" i="30" s="1"/>
  <c r="F440" i="30" s="1"/>
  <c r="J431" i="30"/>
  <c r="A431" i="30"/>
  <c r="J430" i="30"/>
  <c r="A430" i="30"/>
  <c r="J429" i="30"/>
  <c r="F429" i="30"/>
  <c r="A429" i="30"/>
  <c r="J428" i="30"/>
  <c r="F428" i="30"/>
  <c r="A428" i="30"/>
  <c r="J427" i="30"/>
  <c r="F427" i="30"/>
  <c r="F439" i="30" s="1"/>
  <c r="A427" i="30"/>
  <c r="J426" i="30"/>
  <c r="A426" i="30"/>
  <c r="J425" i="30"/>
  <c r="A425" i="30"/>
  <c r="J424" i="30"/>
  <c r="A424" i="30"/>
  <c r="J423" i="30"/>
  <c r="A423" i="30"/>
  <c r="F423" i="30" s="1"/>
  <c r="J422" i="30"/>
  <c r="A422" i="30"/>
  <c r="J421" i="30"/>
  <c r="A421" i="30"/>
  <c r="J420" i="30"/>
  <c r="F420" i="30"/>
  <c r="A420" i="30"/>
  <c r="J419" i="30"/>
  <c r="A419" i="30"/>
  <c r="J418" i="30"/>
  <c r="A418" i="30"/>
  <c r="J417" i="30"/>
  <c r="A417" i="30"/>
  <c r="J416" i="30"/>
  <c r="A416" i="30"/>
  <c r="J415" i="30"/>
  <c r="A415" i="30"/>
  <c r="J414" i="30"/>
  <c r="A414" i="30"/>
  <c r="J413" i="30"/>
  <c r="A413" i="30"/>
  <c r="J412" i="30"/>
  <c r="A412" i="30"/>
  <c r="J411" i="30"/>
  <c r="F411" i="30"/>
  <c r="A411" i="30"/>
  <c r="J410" i="30"/>
  <c r="F410" i="30"/>
  <c r="A410" i="30"/>
  <c r="J409" i="30"/>
  <c r="A409" i="30"/>
  <c r="F409" i="30" s="1"/>
  <c r="J408" i="30"/>
  <c r="A408" i="30"/>
  <c r="J407" i="30"/>
  <c r="A407" i="30"/>
  <c r="J406" i="30"/>
  <c r="F406" i="30"/>
  <c r="A406" i="30"/>
  <c r="J405" i="30"/>
  <c r="F405" i="30"/>
  <c r="A405" i="30"/>
  <c r="J404" i="30"/>
  <c r="F404" i="30"/>
  <c r="A404" i="30"/>
  <c r="J403" i="30"/>
  <c r="A403" i="30"/>
  <c r="J402" i="30"/>
  <c r="A402" i="30"/>
  <c r="J401" i="30"/>
  <c r="A401" i="30"/>
  <c r="J400" i="30"/>
  <c r="F400" i="30"/>
  <c r="A400" i="30"/>
  <c r="J399" i="30"/>
  <c r="A399" i="30"/>
  <c r="J398" i="30"/>
  <c r="F398" i="30"/>
  <c r="A398" i="30"/>
  <c r="J397" i="30"/>
  <c r="F397" i="30"/>
  <c r="A397" i="30"/>
  <c r="J396" i="30"/>
  <c r="A396" i="30"/>
  <c r="J395" i="30"/>
  <c r="A395" i="30"/>
  <c r="J394" i="30"/>
  <c r="F394" i="30"/>
  <c r="A394" i="30"/>
  <c r="J393" i="30"/>
  <c r="A393" i="30"/>
  <c r="J392" i="30"/>
  <c r="A392" i="30"/>
  <c r="J391" i="30"/>
  <c r="F391" i="30"/>
  <c r="F449" i="30" s="1"/>
  <c r="A391" i="30"/>
  <c r="J390" i="30"/>
  <c r="F390" i="30"/>
  <c r="A390" i="30"/>
  <c r="J389" i="30"/>
  <c r="F389" i="30"/>
  <c r="F402" i="30" s="1"/>
  <c r="A389" i="30"/>
  <c r="J388" i="30"/>
  <c r="A388" i="30"/>
  <c r="J387" i="30"/>
  <c r="A387" i="30"/>
  <c r="J386" i="30"/>
  <c r="A386" i="30"/>
  <c r="J385" i="30"/>
  <c r="A385" i="30"/>
  <c r="J384" i="30"/>
  <c r="A384" i="30"/>
  <c r="J383" i="30"/>
  <c r="A383" i="30"/>
  <c r="J382" i="30"/>
  <c r="A382" i="30"/>
  <c r="J381" i="30"/>
  <c r="A381" i="30"/>
  <c r="J380" i="30"/>
  <c r="A380" i="30"/>
  <c r="J379" i="30"/>
  <c r="A379" i="30"/>
  <c r="J378" i="30"/>
  <c r="A378" i="30"/>
  <c r="J377" i="30"/>
  <c r="A377" i="30"/>
  <c r="J376" i="30"/>
  <c r="A376" i="30"/>
  <c r="J375" i="30"/>
  <c r="A375" i="30"/>
  <c r="J374" i="30"/>
  <c r="A374" i="30"/>
  <c r="J373" i="30"/>
  <c r="A373" i="30"/>
  <c r="J372" i="30"/>
  <c r="A372" i="30"/>
  <c r="J371" i="30"/>
  <c r="A371" i="30"/>
  <c r="J370" i="30"/>
  <c r="F370" i="30"/>
  <c r="A370" i="30"/>
  <c r="J369" i="30"/>
  <c r="A369" i="30"/>
  <c r="J368" i="30"/>
  <c r="A368" i="30"/>
  <c r="J367" i="30"/>
  <c r="F367" i="30"/>
  <c r="A367" i="30"/>
  <c r="J366" i="30"/>
  <c r="F366" i="30"/>
  <c r="A366" i="30"/>
  <c r="J365" i="30"/>
  <c r="A365" i="30"/>
  <c r="J364" i="30"/>
  <c r="A364" i="30"/>
  <c r="F364" i="30" s="1"/>
  <c r="J363" i="30"/>
  <c r="A363" i="30"/>
  <c r="J362" i="30"/>
  <c r="A362" i="30"/>
  <c r="J361" i="30"/>
  <c r="A361" i="30"/>
  <c r="J360" i="30"/>
  <c r="A360" i="30"/>
  <c r="J359" i="30"/>
  <c r="F359" i="30"/>
  <c r="A359" i="30"/>
  <c r="J358" i="30"/>
  <c r="A358" i="30"/>
  <c r="J357" i="30"/>
  <c r="A357" i="30"/>
  <c r="J356" i="30"/>
  <c r="A356" i="30"/>
  <c r="J355" i="30"/>
  <c r="F355" i="30"/>
  <c r="A355" i="30"/>
  <c r="J354" i="30"/>
  <c r="F354" i="30"/>
  <c r="A354" i="30"/>
  <c r="J353" i="30"/>
  <c r="F353" i="30"/>
  <c r="A353" i="30"/>
  <c r="J352" i="30"/>
  <c r="F352" i="30"/>
  <c r="A352" i="30"/>
  <c r="J351" i="30"/>
  <c r="A351" i="30"/>
  <c r="J350" i="30"/>
  <c r="A350" i="30"/>
  <c r="J349" i="30"/>
  <c r="A349" i="30"/>
  <c r="J348" i="30"/>
  <c r="A348" i="30"/>
  <c r="J347" i="30"/>
  <c r="A347" i="30"/>
  <c r="J346" i="30"/>
  <c r="A346" i="30"/>
  <c r="J345" i="30"/>
  <c r="A345" i="30"/>
  <c r="J344" i="30"/>
  <c r="F344" i="30"/>
  <c r="A344" i="30"/>
  <c r="J343" i="30"/>
  <c r="F343" i="30"/>
  <c r="A343" i="30"/>
  <c r="J342" i="30"/>
  <c r="A342" i="30"/>
  <c r="J341" i="30"/>
  <c r="F341" i="30"/>
  <c r="F348" i="30" s="1"/>
  <c r="A341" i="30"/>
  <c r="J340" i="30"/>
  <c r="A340" i="30"/>
  <c r="J339" i="30"/>
  <c r="A339" i="30"/>
  <c r="J338" i="30"/>
  <c r="A338" i="30"/>
  <c r="J337" i="30"/>
  <c r="A337" i="30"/>
  <c r="J336" i="30"/>
  <c r="F336" i="30"/>
  <c r="F347" i="30" s="1"/>
  <c r="F386" i="30" s="1"/>
  <c r="A336" i="30"/>
  <c r="J335" i="30"/>
  <c r="A335" i="30"/>
  <c r="J334" i="30"/>
  <c r="A334" i="30"/>
  <c r="J333" i="30"/>
  <c r="A333" i="30"/>
  <c r="J332" i="30"/>
  <c r="F332" i="30"/>
  <c r="A332" i="30"/>
  <c r="J331" i="30"/>
  <c r="A331" i="30"/>
  <c r="J330" i="30"/>
  <c r="A330" i="30"/>
  <c r="J329" i="30"/>
  <c r="F329" i="30"/>
  <c r="A329" i="30"/>
  <c r="J328" i="30"/>
  <c r="F328" i="30"/>
  <c r="A328" i="30"/>
  <c r="J327" i="30"/>
  <c r="A327" i="30"/>
  <c r="J326" i="30"/>
  <c r="A326" i="30"/>
  <c r="J325" i="30"/>
  <c r="A325" i="30"/>
  <c r="J324" i="30"/>
  <c r="A324" i="30"/>
  <c r="F324" i="30" s="1"/>
  <c r="F334" i="30" s="1"/>
  <c r="J323" i="30"/>
  <c r="A323" i="30"/>
  <c r="J322" i="30"/>
  <c r="A322" i="30"/>
  <c r="J321" i="30"/>
  <c r="A321" i="30"/>
  <c r="J320" i="30"/>
  <c r="A320" i="30"/>
  <c r="J319" i="30"/>
  <c r="F319" i="30"/>
  <c r="F335" i="30" s="1"/>
  <c r="A319" i="30"/>
  <c r="J318" i="30"/>
  <c r="A318" i="30"/>
  <c r="J317" i="30"/>
  <c r="A317" i="30"/>
  <c r="J316" i="30"/>
  <c r="A316" i="30"/>
  <c r="J315" i="30"/>
  <c r="A315" i="30"/>
  <c r="J314" i="30"/>
  <c r="F314" i="30"/>
  <c r="A314" i="30"/>
  <c r="J313" i="30"/>
  <c r="A313" i="30"/>
  <c r="J312" i="30"/>
  <c r="A312" i="30"/>
  <c r="J311" i="30"/>
  <c r="F311" i="30"/>
  <c r="A311" i="30"/>
  <c r="J310" i="30"/>
  <c r="F310" i="30"/>
  <c r="A310" i="30"/>
  <c r="J309" i="30"/>
  <c r="A309" i="30"/>
  <c r="J308" i="30"/>
  <c r="A308" i="30"/>
  <c r="J307" i="30"/>
  <c r="A307" i="30"/>
  <c r="J306" i="30"/>
  <c r="A306" i="30"/>
  <c r="J305" i="30"/>
  <c r="A305" i="30"/>
  <c r="J304" i="30"/>
  <c r="A304" i="30"/>
  <c r="J303" i="30"/>
  <c r="A303" i="30"/>
  <c r="J302" i="30"/>
  <c r="A302" i="30"/>
  <c r="J301" i="30"/>
  <c r="A301" i="30"/>
  <c r="J300" i="30"/>
  <c r="A300" i="30"/>
  <c r="J299" i="30"/>
  <c r="A299" i="30"/>
  <c r="J298" i="30"/>
  <c r="A298" i="30"/>
  <c r="J297" i="30"/>
  <c r="A297" i="30"/>
  <c r="J296" i="30"/>
  <c r="A296" i="30"/>
  <c r="J295" i="30"/>
  <c r="A295" i="30"/>
  <c r="J294" i="30"/>
  <c r="A294" i="30"/>
  <c r="J293" i="30"/>
  <c r="A293" i="30"/>
  <c r="J292" i="30"/>
  <c r="A292" i="30"/>
  <c r="J291" i="30"/>
  <c r="A291" i="30"/>
  <c r="J290" i="30"/>
  <c r="A290" i="30"/>
  <c r="J289" i="30"/>
  <c r="F289" i="30"/>
  <c r="A289" i="30"/>
  <c r="J288" i="30"/>
  <c r="A288" i="30"/>
  <c r="J287" i="30"/>
  <c r="F287" i="30"/>
  <c r="F313" i="30" s="1"/>
  <c r="A287" i="30"/>
  <c r="J286" i="30"/>
  <c r="A286" i="30"/>
  <c r="J285" i="30"/>
  <c r="A285" i="30"/>
  <c r="J284" i="30"/>
  <c r="A284" i="30"/>
  <c r="J283" i="30"/>
  <c r="F283" i="30"/>
  <c r="A283" i="30"/>
  <c r="J282" i="30"/>
  <c r="A282" i="30"/>
  <c r="J281" i="30"/>
  <c r="A281" i="30"/>
  <c r="J280" i="30"/>
  <c r="A280" i="30"/>
  <c r="J279" i="30"/>
  <c r="A279" i="30"/>
  <c r="J278" i="30"/>
  <c r="A278" i="30"/>
  <c r="J277" i="30"/>
  <c r="F277" i="30"/>
  <c r="F280" i="30" s="1"/>
  <c r="A277" i="30"/>
  <c r="J276" i="30"/>
  <c r="A276" i="30"/>
  <c r="J275" i="30"/>
  <c r="A275" i="30"/>
  <c r="J274" i="30"/>
  <c r="A274" i="30"/>
  <c r="J273" i="30"/>
  <c r="A273" i="30"/>
  <c r="J272" i="30"/>
  <c r="F272" i="30"/>
  <c r="F274" i="30" s="1"/>
  <c r="A272" i="30"/>
  <c r="J271" i="30"/>
  <c r="A271" i="30"/>
  <c r="J270" i="30"/>
  <c r="A270" i="30"/>
  <c r="J269" i="30"/>
  <c r="A269" i="30"/>
  <c r="J268" i="30"/>
  <c r="A268" i="30"/>
  <c r="J267" i="30"/>
  <c r="A267" i="30"/>
  <c r="J266" i="30"/>
  <c r="A266" i="30"/>
  <c r="J265" i="30"/>
  <c r="A265" i="30"/>
  <c r="J264" i="30"/>
  <c r="A264" i="30"/>
  <c r="J263" i="30"/>
  <c r="A263" i="30"/>
  <c r="J262" i="30"/>
  <c r="F262" i="30"/>
  <c r="A262" i="30"/>
  <c r="J261" i="30"/>
  <c r="A261" i="30"/>
  <c r="J260" i="30"/>
  <c r="A260" i="30"/>
  <c r="J259" i="30"/>
  <c r="A259" i="30"/>
  <c r="J258" i="30"/>
  <c r="A258" i="30"/>
  <c r="J257" i="30"/>
  <c r="A257" i="30"/>
  <c r="J256" i="30"/>
  <c r="A256" i="30"/>
  <c r="J255" i="30"/>
  <c r="A255" i="30"/>
  <c r="J254" i="30"/>
  <c r="A254" i="30"/>
  <c r="J253" i="30"/>
  <c r="A253" i="30"/>
  <c r="J252" i="30"/>
  <c r="A252" i="30"/>
  <c r="J251" i="30"/>
  <c r="F251" i="30"/>
  <c r="F257" i="30" s="1"/>
  <c r="A251" i="30"/>
  <c r="J250" i="30"/>
  <c r="A250" i="30"/>
  <c r="J249" i="30"/>
  <c r="A249" i="30"/>
  <c r="J248" i="30"/>
  <c r="F248" i="30"/>
  <c r="F259" i="30" s="1"/>
  <c r="A248" i="30"/>
  <c r="J247" i="30"/>
  <c r="A247" i="30"/>
  <c r="J246" i="30"/>
  <c r="A246" i="30"/>
  <c r="J245" i="30"/>
  <c r="F245" i="30"/>
  <c r="F258" i="30" s="1"/>
  <c r="A245" i="30"/>
  <c r="J244" i="30"/>
  <c r="A244" i="30"/>
  <c r="J243" i="30"/>
  <c r="A243" i="30"/>
  <c r="J242" i="30"/>
  <c r="A242" i="30"/>
  <c r="J241" i="30"/>
  <c r="A241" i="30"/>
  <c r="J240" i="30"/>
  <c r="A240" i="30"/>
  <c r="J239" i="30"/>
  <c r="A239" i="30"/>
  <c r="J238" i="30"/>
  <c r="A238" i="30"/>
  <c r="J237" i="30"/>
  <c r="A237" i="30"/>
  <c r="J236" i="30"/>
  <c r="A236" i="30"/>
  <c r="J235" i="30"/>
  <c r="A235" i="30"/>
  <c r="J234" i="30"/>
  <c r="A234" i="30"/>
  <c r="J233" i="30"/>
  <c r="A233" i="30"/>
  <c r="J232" i="30"/>
  <c r="A232" i="30"/>
  <c r="J231" i="30"/>
  <c r="A231" i="30"/>
  <c r="J230" i="30"/>
  <c r="A230" i="30"/>
  <c r="J229" i="30"/>
  <c r="A229" i="30"/>
  <c r="J228" i="30"/>
  <c r="A228" i="30"/>
  <c r="J227" i="30"/>
  <c r="A227" i="30"/>
  <c r="J226" i="30"/>
  <c r="A226" i="30"/>
  <c r="J225" i="30"/>
  <c r="A225" i="30"/>
  <c r="J224" i="30"/>
  <c r="A224" i="30"/>
  <c r="J223" i="30"/>
  <c r="A223" i="30"/>
  <c r="J222" i="30"/>
  <c r="A222" i="30"/>
  <c r="J221" i="30"/>
  <c r="A221" i="30"/>
  <c r="J220" i="30"/>
  <c r="A220" i="30"/>
  <c r="J219" i="30"/>
  <c r="A219" i="30"/>
  <c r="J218" i="30"/>
  <c r="A218" i="30"/>
  <c r="J217" i="30"/>
  <c r="A217" i="30"/>
  <c r="J216" i="30"/>
  <c r="A216" i="30"/>
  <c r="J215" i="30"/>
  <c r="A215" i="30"/>
  <c r="J214" i="30"/>
  <c r="A214" i="30"/>
  <c r="J213" i="30"/>
  <c r="A213" i="30"/>
  <c r="J212" i="30"/>
  <c r="A212" i="30"/>
  <c r="J211" i="30"/>
  <c r="A211" i="30"/>
  <c r="J210" i="30"/>
  <c r="A210" i="30"/>
  <c r="J209" i="30"/>
  <c r="A209" i="30"/>
  <c r="J208" i="30"/>
  <c r="F208" i="30"/>
  <c r="A208" i="30"/>
  <c r="J207" i="30"/>
  <c r="A207" i="30"/>
  <c r="J206" i="30"/>
  <c r="A206" i="30"/>
  <c r="J205" i="30"/>
  <c r="A205" i="30"/>
  <c r="J204" i="30"/>
  <c r="A204" i="30"/>
  <c r="J203" i="30"/>
  <c r="A203" i="30"/>
  <c r="J202" i="30"/>
  <c r="A202" i="30"/>
  <c r="J201" i="30"/>
  <c r="A201" i="30"/>
  <c r="J200" i="30"/>
  <c r="A200" i="30"/>
  <c r="J199" i="30"/>
  <c r="A199" i="30"/>
  <c r="J198" i="30"/>
  <c r="A198" i="30"/>
  <c r="J197" i="30"/>
  <c r="A197" i="30"/>
  <c r="J196" i="30"/>
  <c r="A196" i="30"/>
  <c r="J195" i="30"/>
  <c r="A195" i="30"/>
  <c r="J194" i="30"/>
  <c r="A194" i="30"/>
  <c r="J193" i="30"/>
  <c r="A193" i="30"/>
  <c r="J192" i="30"/>
  <c r="A192" i="30"/>
  <c r="J191" i="30"/>
  <c r="A191" i="30"/>
  <c r="J190" i="30"/>
  <c r="A190" i="30"/>
  <c r="J189" i="30"/>
  <c r="A189" i="30"/>
  <c r="J188" i="30"/>
  <c r="A188" i="30"/>
  <c r="J187" i="30"/>
  <c r="A187" i="30"/>
  <c r="J186" i="30"/>
  <c r="A186" i="30"/>
  <c r="J185" i="30"/>
  <c r="A185" i="30"/>
  <c r="J184" i="30"/>
  <c r="A184" i="30"/>
  <c r="J183" i="30"/>
  <c r="A183" i="30"/>
  <c r="J182" i="30"/>
  <c r="A182" i="30"/>
  <c r="J181" i="30"/>
  <c r="A181" i="30"/>
  <c r="J180" i="30"/>
  <c r="F180" i="30"/>
  <c r="A180" i="30"/>
  <c r="J179" i="30"/>
  <c r="F179" i="30"/>
  <c r="A179" i="30"/>
  <c r="J178" i="30"/>
  <c r="A178" i="30"/>
  <c r="J177" i="30"/>
  <c r="A177" i="30"/>
  <c r="J176" i="30"/>
  <c r="A176" i="30"/>
  <c r="J175" i="30"/>
  <c r="A175" i="30"/>
  <c r="J174" i="30"/>
  <c r="A174" i="30"/>
  <c r="J173" i="30"/>
  <c r="A173" i="30"/>
  <c r="J172" i="30"/>
  <c r="A172" i="30"/>
  <c r="J171" i="30"/>
  <c r="A171" i="30"/>
  <c r="J170" i="30"/>
  <c r="F170" i="30"/>
  <c r="A170" i="30"/>
  <c r="J169" i="30"/>
  <c r="F169" i="30"/>
  <c r="A169" i="30"/>
  <c r="J168" i="30"/>
  <c r="A168" i="30"/>
  <c r="J167" i="30"/>
  <c r="A167" i="30"/>
  <c r="J166" i="30"/>
  <c r="A166" i="30"/>
  <c r="J165" i="30"/>
  <c r="A165" i="30"/>
  <c r="J164" i="30"/>
  <c r="F164" i="30"/>
  <c r="A164" i="30"/>
  <c r="J163" i="30"/>
  <c r="A163" i="30"/>
  <c r="J162" i="30"/>
  <c r="F162" i="30"/>
  <c r="F167" i="30" s="1"/>
  <c r="F182" i="30" s="1"/>
  <c r="A162" i="30"/>
  <c r="J161" i="30"/>
  <c r="A161" i="30"/>
  <c r="J160" i="30"/>
  <c r="A160" i="30"/>
  <c r="J159" i="30"/>
  <c r="A159" i="30"/>
  <c r="J158" i="30"/>
  <c r="A158" i="30"/>
  <c r="J157" i="30"/>
  <c r="A157" i="30"/>
  <c r="J156" i="30"/>
  <c r="A156" i="30"/>
  <c r="J155" i="30"/>
  <c r="F155" i="30"/>
  <c r="A155" i="30"/>
  <c r="J154" i="30"/>
  <c r="F154" i="30"/>
  <c r="A154" i="30"/>
  <c r="J153" i="30"/>
  <c r="A153" i="30"/>
  <c r="J152" i="30"/>
  <c r="F152" i="30"/>
  <c r="A152" i="30"/>
  <c r="J151" i="30"/>
  <c r="F151" i="30"/>
  <c r="F153" i="30" s="1"/>
  <c r="A151" i="30"/>
  <c r="J150" i="30"/>
  <c r="A150" i="30"/>
  <c r="J149" i="30"/>
  <c r="A149" i="30"/>
  <c r="J148" i="30"/>
  <c r="A148" i="30"/>
  <c r="J147" i="30"/>
  <c r="A147" i="30"/>
  <c r="J146" i="30"/>
  <c r="A146" i="30"/>
  <c r="J145" i="30"/>
  <c r="F145" i="30"/>
  <c r="A145" i="30"/>
  <c r="J144" i="30"/>
  <c r="A144" i="30"/>
  <c r="J143" i="30"/>
  <c r="F143" i="30"/>
  <c r="A143" i="30"/>
  <c r="J142" i="30"/>
  <c r="A142" i="30"/>
  <c r="F142" i="30" s="1"/>
  <c r="F144" i="30" s="1"/>
  <c r="F150" i="30" s="1"/>
  <c r="F190" i="30" s="1"/>
  <c r="J141" i="30"/>
  <c r="A141" i="30"/>
  <c r="J140" i="30"/>
  <c r="A140" i="30"/>
  <c r="J139" i="30"/>
  <c r="A139" i="30"/>
  <c r="J138" i="30"/>
  <c r="F138" i="30"/>
  <c r="A138" i="30"/>
  <c r="J137" i="30"/>
  <c r="A137" i="30"/>
  <c r="J136" i="30"/>
  <c r="F136" i="30"/>
  <c r="A136" i="30"/>
  <c r="J135" i="30"/>
  <c r="A135" i="30"/>
  <c r="F135" i="30" s="1"/>
  <c r="F137" i="30" s="1"/>
  <c r="F141" i="30" s="1"/>
  <c r="J134" i="30"/>
  <c r="A134" i="30"/>
  <c r="J133" i="30"/>
  <c r="A133" i="30"/>
  <c r="J132" i="30"/>
  <c r="A132" i="30"/>
  <c r="J131" i="30"/>
  <c r="F131" i="30"/>
  <c r="A131" i="30"/>
  <c r="J130" i="30"/>
  <c r="A130" i="30"/>
  <c r="J129" i="30"/>
  <c r="F129" i="30"/>
  <c r="F185" i="30" s="1"/>
  <c r="A129" i="30"/>
  <c r="J128" i="30"/>
  <c r="A128" i="30"/>
  <c r="F128" i="30" s="1"/>
  <c r="F130" i="30" s="1"/>
  <c r="F133" i="30" s="1"/>
  <c r="J127" i="30"/>
  <c r="A127" i="30"/>
  <c r="J126" i="30"/>
  <c r="A126" i="30"/>
  <c r="J125" i="30"/>
  <c r="A125" i="30"/>
  <c r="J124" i="30"/>
  <c r="A124" i="30"/>
  <c r="J123" i="30"/>
  <c r="A123" i="30"/>
  <c r="J122" i="30"/>
  <c r="A122" i="30"/>
  <c r="J121" i="30"/>
  <c r="A121" i="30"/>
  <c r="J120" i="30"/>
  <c r="F120" i="30"/>
  <c r="A120" i="30"/>
  <c r="J119" i="30"/>
  <c r="A119" i="30"/>
  <c r="J118" i="30"/>
  <c r="A118" i="30"/>
  <c r="J117" i="30"/>
  <c r="F117" i="30"/>
  <c r="A117" i="30"/>
  <c r="J116" i="30"/>
  <c r="A116" i="30"/>
  <c r="J115" i="30"/>
  <c r="F115" i="30"/>
  <c r="A115" i="30"/>
  <c r="J114" i="30"/>
  <c r="A114" i="30"/>
  <c r="J113" i="30"/>
  <c r="A113" i="30"/>
  <c r="J112" i="30"/>
  <c r="A112" i="30"/>
  <c r="J111" i="30"/>
  <c r="A111" i="30"/>
  <c r="J110" i="30"/>
  <c r="A110" i="30"/>
  <c r="J109" i="30"/>
  <c r="A109" i="30"/>
  <c r="J108" i="30"/>
  <c r="A108" i="30"/>
  <c r="J107" i="30"/>
  <c r="A107" i="30"/>
  <c r="J106" i="30"/>
  <c r="A106" i="30"/>
  <c r="J105" i="30"/>
  <c r="A105" i="30"/>
  <c r="J104" i="30"/>
  <c r="A104" i="30"/>
  <c r="J103" i="30"/>
  <c r="F103" i="30"/>
  <c r="A103" i="30"/>
  <c r="J102" i="30"/>
  <c r="A102" i="30"/>
  <c r="J101" i="30"/>
  <c r="F101" i="30"/>
  <c r="A101" i="30"/>
  <c r="J100" i="30"/>
  <c r="A100" i="30"/>
  <c r="J99" i="30"/>
  <c r="A99" i="30"/>
  <c r="J98" i="30"/>
  <c r="F98" i="30"/>
  <c r="A98" i="30"/>
  <c r="J97" i="30"/>
  <c r="A97" i="30"/>
  <c r="F97" i="30" s="1"/>
  <c r="F99" i="30" s="1"/>
  <c r="J96" i="30"/>
  <c r="A96" i="30"/>
  <c r="J95" i="30"/>
  <c r="A95" i="30"/>
  <c r="J94" i="30"/>
  <c r="A94" i="30"/>
  <c r="J93" i="30"/>
  <c r="A93" i="30"/>
  <c r="J92" i="30"/>
  <c r="A92" i="30"/>
  <c r="J91" i="30"/>
  <c r="F91" i="30"/>
  <c r="A91" i="30"/>
  <c r="J90" i="30"/>
  <c r="F90" i="30"/>
  <c r="A90" i="30"/>
  <c r="J89" i="30"/>
  <c r="F89" i="30"/>
  <c r="A89" i="30"/>
  <c r="J88" i="30"/>
  <c r="A88" i="30"/>
  <c r="J87" i="30"/>
  <c r="A87" i="30"/>
  <c r="J86" i="30"/>
  <c r="F86" i="30"/>
  <c r="A86" i="30"/>
  <c r="J85" i="30"/>
  <c r="F85" i="30"/>
  <c r="A85" i="30"/>
  <c r="J84" i="30"/>
  <c r="A84" i="30"/>
  <c r="F84" i="30" s="1"/>
  <c r="F87" i="30" s="1"/>
  <c r="F96" i="30" s="1"/>
  <c r="F125" i="30" s="1"/>
  <c r="J83" i="30"/>
  <c r="A83" i="30"/>
  <c r="J82" i="30"/>
  <c r="A82" i="30"/>
  <c r="J81" i="30"/>
  <c r="A81" i="30"/>
  <c r="J80" i="30"/>
  <c r="F80" i="30"/>
  <c r="A80" i="30"/>
  <c r="J79" i="30"/>
  <c r="A79" i="30"/>
  <c r="J78" i="30"/>
  <c r="A78" i="30"/>
  <c r="J77" i="30"/>
  <c r="F77" i="30"/>
  <c r="A77" i="30"/>
  <c r="J76" i="30"/>
  <c r="F76" i="30"/>
  <c r="A76" i="30"/>
  <c r="J75" i="30"/>
  <c r="A75" i="30"/>
  <c r="F75" i="30" s="1"/>
  <c r="F78" i="30" s="1"/>
  <c r="F83" i="30" s="1"/>
  <c r="J74" i="30"/>
  <c r="A74" i="30"/>
  <c r="J73" i="30"/>
  <c r="A73" i="30"/>
  <c r="J72" i="30"/>
  <c r="A72" i="30"/>
  <c r="J71" i="30"/>
  <c r="F71" i="30"/>
  <c r="A71" i="30"/>
  <c r="J70" i="30"/>
  <c r="A70" i="30"/>
  <c r="J69" i="30"/>
  <c r="A69" i="30"/>
  <c r="J68" i="30"/>
  <c r="F68" i="30"/>
  <c r="A68" i="30"/>
  <c r="J67" i="30"/>
  <c r="F67" i="30"/>
  <c r="A67" i="30"/>
  <c r="J66" i="30"/>
  <c r="A66" i="30"/>
  <c r="F66" i="30" s="1"/>
  <c r="F69" i="30" s="1"/>
  <c r="F73" i="30" s="1"/>
  <c r="J65" i="30"/>
  <c r="A65" i="30"/>
  <c r="J64" i="30"/>
  <c r="A64" i="30"/>
  <c r="J63" i="30"/>
  <c r="A63" i="30"/>
  <c r="J62" i="30"/>
  <c r="A62" i="30"/>
  <c r="J61" i="30"/>
  <c r="A61" i="30"/>
  <c r="J60" i="30"/>
  <c r="A60" i="30"/>
  <c r="J59" i="30"/>
  <c r="A59" i="30"/>
  <c r="J58" i="30"/>
  <c r="F58" i="30"/>
  <c r="A58" i="30"/>
  <c r="J57" i="30"/>
  <c r="A57" i="30"/>
  <c r="J56" i="30"/>
  <c r="A56" i="30"/>
  <c r="J55" i="30"/>
  <c r="F55" i="30"/>
  <c r="A55" i="30"/>
  <c r="J54" i="30"/>
  <c r="A54" i="30"/>
  <c r="J53" i="30"/>
  <c r="F53" i="30"/>
  <c r="A53" i="30"/>
  <c r="J52" i="30"/>
  <c r="A52" i="30"/>
  <c r="J51" i="30"/>
  <c r="A51" i="30"/>
  <c r="J50" i="30"/>
  <c r="A50" i="30"/>
  <c r="J49" i="30"/>
  <c r="A49" i="30"/>
  <c r="J48" i="30"/>
  <c r="A48" i="30"/>
  <c r="J47" i="30"/>
  <c r="A47" i="30"/>
  <c r="J46" i="30"/>
  <c r="A46" i="30"/>
  <c r="J45" i="30"/>
  <c r="A45" i="30"/>
  <c r="J44" i="30"/>
  <c r="A44" i="30"/>
  <c r="J43" i="30"/>
  <c r="A43" i="30"/>
  <c r="J42" i="30"/>
  <c r="A42" i="30"/>
  <c r="J41" i="30"/>
  <c r="A41" i="30"/>
  <c r="J40" i="30"/>
  <c r="A40" i="30"/>
  <c r="J39" i="30"/>
  <c r="A39" i="30"/>
  <c r="J38" i="30"/>
  <c r="F38" i="30"/>
  <c r="A38" i="30"/>
  <c r="J37" i="30"/>
  <c r="A37" i="30"/>
  <c r="J36" i="30"/>
  <c r="F36" i="30"/>
  <c r="A36" i="30"/>
  <c r="J35" i="30"/>
  <c r="A35" i="30"/>
  <c r="J34" i="30"/>
  <c r="A34" i="30"/>
  <c r="J33" i="30"/>
  <c r="F33" i="30"/>
  <c r="A33" i="30"/>
  <c r="J32" i="30"/>
  <c r="A32" i="30"/>
  <c r="F32" i="30" s="1"/>
  <c r="F34" i="30" s="1"/>
  <c r="J31" i="30"/>
  <c r="A31" i="30"/>
  <c r="J30" i="30"/>
  <c r="A30" i="30"/>
  <c r="J29" i="30"/>
  <c r="A29" i="30"/>
  <c r="J28" i="30"/>
  <c r="A28" i="30"/>
  <c r="J27" i="30"/>
  <c r="A27" i="30"/>
  <c r="J26" i="30"/>
  <c r="F26" i="30"/>
  <c r="A26" i="30"/>
  <c r="J25" i="30"/>
  <c r="F25" i="30"/>
  <c r="A25" i="30"/>
  <c r="J24" i="30"/>
  <c r="F24" i="30"/>
  <c r="A24" i="30"/>
  <c r="J23" i="30"/>
  <c r="A23" i="30"/>
  <c r="J22" i="30"/>
  <c r="F22" i="30"/>
  <c r="A22" i="30"/>
  <c r="J21" i="30"/>
  <c r="F21" i="30"/>
  <c r="A21" i="30"/>
  <c r="J20" i="30"/>
  <c r="A20" i="30"/>
  <c r="F20" i="30" s="1"/>
  <c r="F23" i="30" s="1"/>
  <c r="F31" i="30" s="1"/>
  <c r="F63" i="30" s="1"/>
  <c r="J19" i="30"/>
  <c r="A19" i="30"/>
  <c r="J18" i="30"/>
  <c r="A18" i="30"/>
  <c r="J17" i="30"/>
  <c r="A17" i="30"/>
  <c r="J16" i="30"/>
  <c r="F16" i="30"/>
  <c r="A16" i="30"/>
  <c r="J15" i="30"/>
  <c r="A15" i="30"/>
  <c r="J14" i="30"/>
  <c r="A14" i="30"/>
  <c r="J13" i="30"/>
  <c r="F13" i="30"/>
  <c r="A13" i="30"/>
  <c r="J12" i="30"/>
  <c r="F12" i="30"/>
  <c r="A12" i="30"/>
  <c r="J11" i="30"/>
  <c r="A11" i="30"/>
  <c r="F11" i="30" s="1"/>
  <c r="F14" i="30" s="1"/>
  <c r="F19" i="30" s="1"/>
  <c r="J10" i="30"/>
  <c r="A10" i="30"/>
  <c r="J9" i="30"/>
  <c r="A9" i="30"/>
  <c r="J8" i="30"/>
  <c r="A8" i="30"/>
  <c r="J7" i="30"/>
  <c r="F7" i="30"/>
  <c r="A7" i="30"/>
  <c r="J6" i="30"/>
  <c r="A6" i="30"/>
  <c r="J5" i="30"/>
  <c r="A5" i="30"/>
  <c r="J4" i="30"/>
  <c r="F4" i="30"/>
  <c r="A4" i="30"/>
  <c r="J3" i="30"/>
  <c r="F3" i="30"/>
  <c r="A3" i="30"/>
  <c r="J2" i="30"/>
  <c r="A2" i="30"/>
  <c r="F2" i="30" s="1"/>
  <c r="F5" i="30" s="1"/>
  <c r="F9" i="30" s="1"/>
  <c r="G38" i="29"/>
  <c r="F38" i="29"/>
  <c r="A38" i="29" s="1"/>
  <c r="G37" i="29"/>
  <c r="F37" i="29"/>
  <c r="A37" i="29" s="1"/>
  <c r="G36" i="29"/>
  <c r="F36" i="29"/>
  <c r="A36" i="29"/>
  <c r="N36" i="29" s="1"/>
  <c r="A35" i="29"/>
  <c r="N35" i="29" s="1"/>
  <c r="N34" i="29"/>
  <c r="L34" i="29"/>
  <c r="I34" i="29"/>
  <c r="G34" i="29"/>
  <c r="F34" i="29"/>
  <c r="A34" i="29"/>
  <c r="H34" i="29" s="1"/>
  <c r="G33" i="29"/>
  <c r="F33" i="29"/>
  <c r="A33" i="29"/>
  <c r="J33" i="29" s="1"/>
  <c r="G32" i="29"/>
  <c r="F32" i="29"/>
  <c r="A32" i="29"/>
  <c r="N32" i="29" s="1"/>
  <c r="G31" i="29"/>
  <c r="F31" i="29"/>
  <c r="A31" i="29" s="1"/>
  <c r="G29" i="29"/>
  <c r="F29" i="29"/>
  <c r="A29" i="29" s="1"/>
  <c r="D29" i="29"/>
  <c r="G28" i="29"/>
  <c r="F28" i="29"/>
  <c r="D28" i="29" s="1"/>
  <c r="A28" i="29"/>
  <c r="L28" i="29" s="1"/>
  <c r="G27" i="29"/>
  <c r="F27" i="29"/>
  <c r="A27" i="29" s="1"/>
  <c r="D27" i="29"/>
  <c r="L26" i="29"/>
  <c r="D26" i="29"/>
  <c r="A26" i="29"/>
  <c r="H26" i="29" s="1"/>
  <c r="P26" i="29" s="1"/>
  <c r="G25" i="29"/>
  <c r="F25" i="29"/>
  <c r="A25" i="29" s="1"/>
  <c r="D25" i="29"/>
  <c r="G3" i="29"/>
  <c r="BB6" i="15" l="1"/>
  <c r="C6" i="20"/>
  <c r="X31" i="14"/>
  <c r="AD15" i="14"/>
  <c r="AJ15" i="14" s="1"/>
  <c r="F6" i="20"/>
  <c r="G6" i="20" s="1"/>
  <c r="M6" i="20"/>
  <c r="N6" i="20" s="1"/>
  <c r="F216" i="30"/>
  <c r="F225" i="30" s="1"/>
  <c r="F226" i="30" s="1"/>
  <c r="P34" i="29"/>
  <c r="F206" i="30"/>
  <c r="F237" i="30" s="1"/>
  <c r="N27" i="29" s="1"/>
  <c r="R27" i="29" s="1"/>
  <c r="W27" i="29" s="1"/>
  <c r="J34" i="29"/>
  <c r="R34" i="29" s="1"/>
  <c r="M28" i="29"/>
  <c r="G35" i="29"/>
  <c r="N28" i="29"/>
  <c r="L33" i="29"/>
  <c r="H35" i="29"/>
  <c r="M33" i="29"/>
  <c r="I35" i="29"/>
  <c r="N33" i="29"/>
  <c r="R33" i="29" s="1"/>
  <c r="J35" i="29"/>
  <c r="R35" i="29" s="1"/>
  <c r="L35" i="29"/>
  <c r="M35" i="29"/>
  <c r="O35" i="29" s="1"/>
  <c r="I26" i="29"/>
  <c r="J26" i="29"/>
  <c r="N26" i="29"/>
  <c r="F494" i="30"/>
  <c r="F512" i="30" s="1"/>
  <c r="F646" i="30"/>
  <c r="F619" i="30"/>
  <c r="F623" i="30" s="1"/>
  <c r="F642" i="30" s="1"/>
  <c r="F778" i="30"/>
  <c r="F751" i="30"/>
  <c r="F755" i="30" s="1"/>
  <c r="F358" i="30"/>
  <c r="F376" i="30" s="1"/>
  <c r="F374" i="30"/>
  <c r="F425" i="30"/>
  <c r="F443" i="30" s="1"/>
  <c r="F455" i="30"/>
  <c r="F627" i="30"/>
  <c r="F644" i="30" s="1"/>
  <c r="F416" i="30"/>
  <c r="F60" i="30"/>
  <c r="F54" i="30"/>
  <c r="F693" i="30"/>
  <c r="F710" i="30" s="1"/>
  <c r="F712" i="30"/>
  <c r="F685" i="30"/>
  <c r="F689" i="30" s="1"/>
  <c r="F708" i="30" s="1"/>
  <c r="F711" i="30"/>
  <c r="F684" i="30"/>
  <c r="F688" i="30" s="1"/>
  <c r="F560" i="30"/>
  <c r="F577" i="30" s="1"/>
  <c r="F589" i="30"/>
  <c r="F873" i="30"/>
  <c r="F835" i="30"/>
  <c r="F861" i="30" s="1"/>
  <c r="F122" i="30"/>
  <c r="F161" i="30"/>
  <c r="F183" i="30"/>
  <c r="F186" i="30"/>
  <c r="F561" i="30"/>
  <c r="F578" i="30" s="1"/>
  <c r="F446" i="30"/>
  <c r="F422" i="30"/>
  <c r="F490" i="30"/>
  <c r="F510" i="30" s="1"/>
  <c r="F514" i="30"/>
  <c r="F580" i="30"/>
  <c r="F553" i="30"/>
  <c r="F557" i="30" s="1"/>
  <c r="F576" i="30" s="1"/>
  <c r="F836" i="30"/>
  <c r="F862" i="30" s="1"/>
  <c r="F421" i="30"/>
  <c r="F445" i="30"/>
  <c r="F312" i="30"/>
  <c r="F288" i="30"/>
  <c r="F372" i="30"/>
  <c r="F371" i="30"/>
  <c r="F489" i="30"/>
  <c r="F513" i="30"/>
  <c r="F59" i="30"/>
  <c r="F56" i="30"/>
  <c r="F109" i="30"/>
  <c r="F118" i="30"/>
  <c r="F121" i="30"/>
  <c r="F774" i="30"/>
  <c r="F759" i="30"/>
  <c r="F776" i="30" s="1"/>
  <c r="F64" i="30"/>
  <c r="F44" i="30"/>
  <c r="F61" i="30"/>
  <c r="F43" i="30"/>
  <c r="F45" i="30" s="1"/>
  <c r="F187" i="30"/>
  <c r="F267" i="30"/>
  <c r="F268" i="30"/>
  <c r="F123" i="30"/>
  <c r="F108" i="30"/>
  <c r="F116" i="30" s="1"/>
  <c r="F126" i="30"/>
  <c r="F160" i="30"/>
  <c r="F188" i="30"/>
  <c r="F159" i="30"/>
  <c r="F181" i="30" s="1"/>
  <c r="F191" i="30"/>
  <c r="F579" i="30"/>
  <c r="F552" i="30"/>
  <c r="F556" i="30" s="1"/>
  <c r="F575" i="30" s="1"/>
  <c r="F655" i="30"/>
  <c r="F626" i="30"/>
  <c r="F643" i="30" s="1"/>
  <c r="F669" i="30"/>
  <c r="F777" i="30"/>
  <c r="F750" i="30"/>
  <c r="F754" i="30" s="1"/>
  <c r="F260" i="30"/>
  <c r="F263" i="30"/>
  <c r="F373" i="30"/>
  <c r="F387" i="30"/>
  <c r="F357" i="30"/>
  <c r="F375" i="30" s="1"/>
  <c r="F863" i="30"/>
  <c r="F827" i="30"/>
  <c r="F831" i="30" s="1"/>
  <c r="F859" i="30" s="1"/>
  <c r="F403" i="30"/>
  <c r="F735" i="30"/>
  <c r="F858" i="30"/>
  <c r="F616" i="30"/>
  <c r="F654" i="30" s="1"/>
  <c r="F639" i="30"/>
  <c r="F264" i="30"/>
  <c r="F381" i="30"/>
  <c r="F470" i="30"/>
  <c r="F682" i="30"/>
  <c r="F720" i="30" s="1"/>
  <c r="F415" i="30"/>
  <c r="F454" i="30" s="1"/>
  <c r="F265" i="30"/>
  <c r="N37" i="29"/>
  <c r="M37" i="29"/>
  <c r="L37" i="29"/>
  <c r="J37" i="29"/>
  <c r="I37" i="29"/>
  <c r="H37" i="29"/>
  <c r="I25" i="29"/>
  <c r="N25" i="29"/>
  <c r="J25" i="29"/>
  <c r="H25" i="29"/>
  <c r="L25" i="29"/>
  <c r="M25" i="29"/>
  <c r="L38" i="29"/>
  <c r="J38" i="29"/>
  <c r="I38" i="29"/>
  <c r="H38" i="29"/>
  <c r="N38" i="29"/>
  <c r="M38" i="29"/>
  <c r="H29" i="29"/>
  <c r="N29" i="29"/>
  <c r="J29" i="29"/>
  <c r="I29" i="29"/>
  <c r="L29" i="29"/>
  <c r="M29" i="29"/>
  <c r="Z34" i="29"/>
  <c r="AC34" i="29"/>
  <c r="N31" i="29"/>
  <c r="H31" i="29"/>
  <c r="L31" i="29"/>
  <c r="M31" i="29"/>
  <c r="I31" i="29"/>
  <c r="J31" i="29"/>
  <c r="Z26" i="29"/>
  <c r="AC26" i="29"/>
  <c r="M26" i="29"/>
  <c r="M34" i="29"/>
  <c r="O34" i="29" s="1"/>
  <c r="H36" i="29"/>
  <c r="K26" i="29"/>
  <c r="H28" i="29"/>
  <c r="P28" i="29" s="1"/>
  <c r="J32" i="29"/>
  <c r="R32" i="29" s="1"/>
  <c r="I36" i="29"/>
  <c r="J36" i="29"/>
  <c r="R36" i="29" s="1"/>
  <c r="H33" i="29"/>
  <c r="P33" i="29" s="1"/>
  <c r="L36" i="29"/>
  <c r="J28" i="29"/>
  <c r="R28" i="29" s="1"/>
  <c r="L32" i="29"/>
  <c r="I33" i="29"/>
  <c r="M36" i="29"/>
  <c r="O36" i="29" s="1"/>
  <c r="H32" i="29"/>
  <c r="G26" i="29"/>
  <c r="G39" i="29" s="1"/>
  <c r="D6" i="29" s="1"/>
  <c r="M32" i="29"/>
  <c r="O32" i="29" s="1"/>
  <c r="I32" i="29"/>
  <c r="I28" i="29"/>
  <c r="F232" i="30" l="1"/>
  <c r="H27" i="29" s="1"/>
  <c r="P27" i="29" s="1"/>
  <c r="F229" i="30"/>
  <c r="Q35" i="29"/>
  <c r="AD35" i="29" s="1"/>
  <c r="O33" i="29"/>
  <c r="P29" i="29"/>
  <c r="Z29" i="29" s="1"/>
  <c r="P37" i="29"/>
  <c r="T37" i="29" s="1"/>
  <c r="O28" i="29"/>
  <c r="O27" i="29"/>
  <c r="F212" i="30"/>
  <c r="F215" i="30" s="1"/>
  <c r="F228" i="30" s="1"/>
  <c r="P38" i="29"/>
  <c r="R37" i="29"/>
  <c r="P35" i="29"/>
  <c r="T35" i="29" s="1"/>
  <c r="K35" i="29"/>
  <c r="S35" i="29" s="1"/>
  <c r="AA35" i="29" s="1"/>
  <c r="P32" i="29"/>
  <c r="Z32" i="29" s="1"/>
  <c r="P36" i="29"/>
  <c r="K34" i="29"/>
  <c r="S34" i="29" s="1"/>
  <c r="AA34" i="29" s="1"/>
  <c r="AB34" i="29" s="1"/>
  <c r="O26" i="29"/>
  <c r="S26" i="29" s="1"/>
  <c r="AA26" i="29" s="1"/>
  <c r="AB26" i="29" s="1"/>
  <c r="R26" i="29"/>
  <c r="F707" i="30"/>
  <c r="F692" i="30"/>
  <c r="F709" i="30" s="1"/>
  <c r="F721" i="30"/>
  <c r="F864" i="30"/>
  <c r="F828" i="30"/>
  <c r="F832" i="30" s="1"/>
  <c r="F860" i="30" s="1"/>
  <c r="F787" i="30"/>
  <c r="F773" i="30"/>
  <c r="F758" i="30"/>
  <c r="F775" i="30" s="1"/>
  <c r="F441" i="30"/>
  <c r="F442" i="30"/>
  <c r="F426" i="30"/>
  <c r="F444" i="30" s="1"/>
  <c r="F509" i="30"/>
  <c r="F493" i="30"/>
  <c r="F511" i="30" s="1"/>
  <c r="F523" i="30"/>
  <c r="F303" i="30"/>
  <c r="F315" i="30" s="1"/>
  <c r="F293" i="30"/>
  <c r="F298" i="30"/>
  <c r="F316" i="30" s="1"/>
  <c r="F645" i="30"/>
  <c r="F618" i="30"/>
  <c r="F622" i="30" s="1"/>
  <c r="F641" i="30" s="1"/>
  <c r="Z38" i="29"/>
  <c r="K38" i="29"/>
  <c r="Q38" i="29"/>
  <c r="K37" i="29"/>
  <c r="Q37" i="29"/>
  <c r="Q34" i="29"/>
  <c r="R31" i="29"/>
  <c r="R38" i="29"/>
  <c r="O37" i="29"/>
  <c r="Z33" i="29"/>
  <c r="AC33" i="29"/>
  <c r="K27" i="29"/>
  <c r="Q27" i="29"/>
  <c r="Q31" i="29"/>
  <c r="K31" i="29"/>
  <c r="K28" i="29"/>
  <c r="Q28" i="29"/>
  <c r="T28" i="29" s="1"/>
  <c r="O31" i="29"/>
  <c r="O29" i="29"/>
  <c r="O25" i="29"/>
  <c r="Q32" i="29"/>
  <c r="K32" i="29"/>
  <c r="S32" i="29" s="1"/>
  <c r="AA32" i="29" s="1"/>
  <c r="Q36" i="29"/>
  <c r="T36" i="29" s="1"/>
  <c r="K36" i="29"/>
  <c r="S36" i="29" s="1"/>
  <c r="AA36" i="29" s="1"/>
  <c r="P31" i="29"/>
  <c r="Q29" i="29"/>
  <c r="K29" i="29"/>
  <c r="P25" i="29"/>
  <c r="Q26" i="29"/>
  <c r="R29" i="29"/>
  <c r="R25" i="29"/>
  <c r="AC36" i="29"/>
  <c r="Z36" i="29"/>
  <c r="AC29" i="29"/>
  <c r="K25" i="29"/>
  <c r="Q25" i="29"/>
  <c r="Z28" i="29"/>
  <c r="AC28" i="29"/>
  <c r="K33" i="29"/>
  <c r="S33" i="29" s="1"/>
  <c r="AA33" i="29" s="1"/>
  <c r="Q33" i="29"/>
  <c r="O38" i="29"/>
  <c r="AC37" i="29"/>
  <c r="Z37" i="29" l="1"/>
  <c r="AC32" i="29"/>
  <c r="T32" i="29"/>
  <c r="T38" i="29"/>
  <c r="S28" i="29"/>
  <c r="AA28" i="29" s="1"/>
  <c r="AB28" i="29" s="1"/>
  <c r="AC38" i="29"/>
  <c r="S25" i="29"/>
  <c r="AA25" i="29" s="1"/>
  <c r="T29" i="29"/>
  <c r="S27" i="29"/>
  <c r="AA27" i="29" s="1"/>
  <c r="AD27" i="29"/>
  <c r="V27" i="29"/>
  <c r="AC27" i="29"/>
  <c r="U27" i="29"/>
  <c r="F227" i="30"/>
  <c r="AC35" i="29"/>
  <c r="AE35" i="29" s="1"/>
  <c r="Z35" i="29"/>
  <c r="AB35" i="29" s="1"/>
  <c r="S37" i="29"/>
  <c r="AA37" i="29" s="1"/>
  <c r="AB37" i="29" s="1"/>
  <c r="S31" i="29"/>
  <c r="AA31" i="29" s="1"/>
  <c r="F309" i="30"/>
  <c r="F317" i="30"/>
  <c r="AC31" i="29"/>
  <c r="T31" i="29"/>
  <c r="Z31" i="29"/>
  <c r="AD34" i="29"/>
  <c r="AE34" i="29" s="1"/>
  <c r="T34" i="29"/>
  <c r="AD38" i="29"/>
  <c r="S38" i="29"/>
  <c r="AA38" i="29" s="1"/>
  <c r="AB38" i="29" s="1"/>
  <c r="AD33" i="29"/>
  <c r="AE33" i="29" s="1"/>
  <c r="T33" i="29"/>
  <c r="AD31" i="29"/>
  <c r="AD26" i="29"/>
  <c r="AE26" i="29" s="1"/>
  <c r="T26" i="29"/>
  <c r="AC25" i="29"/>
  <c r="T25" i="29"/>
  <c r="Z25" i="29"/>
  <c r="Z27" i="29"/>
  <c r="T27" i="29"/>
  <c r="AB33" i="29"/>
  <c r="AD37" i="29"/>
  <c r="AE37" i="29" s="1"/>
  <c r="AD25" i="29"/>
  <c r="AD32" i="29"/>
  <c r="AE32" i="29" s="1"/>
  <c r="AB36" i="29"/>
  <c r="S29" i="29"/>
  <c r="AA29" i="29" s="1"/>
  <c r="AB29" i="29" s="1"/>
  <c r="AD36" i="29"/>
  <c r="AE36" i="29" s="1"/>
  <c r="AB32" i="29"/>
  <c r="AD29" i="29"/>
  <c r="AE29" i="29" s="1"/>
  <c r="AD28" i="29"/>
  <c r="AE28" i="29" s="1"/>
  <c r="K13" i="28" l="1"/>
  <c r="AB31" i="29"/>
  <c r="AE38" i="29"/>
  <c r="AB25" i="29"/>
  <c r="AB27" i="29"/>
  <c r="AE25" i="29"/>
  <c r="AE31" i="29"/>
  <c r="AE27" i="29"/>
  <c r="T39" i="29"/>
  <c r="D4" i="29" s="1"/>
  <c r="AE39" i="29" l="1"/>
  <c r="D8" i="29" s="1"/>
  <c r="AB39" i="29"/>
  <c r="D5" i="29" s="1"/>
  <c r="D7" i="29" s="1"/>
  <c r="V35" i="29" l="1"/>
  <c r="V34" i="29"/>
  <c r="V33" i="29"/>
  <c r="V36" i="29"/>
  <c r="V25" i="29"/>
  <c r="V29" i="29"/>
  <c r="V38" i="29"/>
  <c r="V28" i="29"/>
  <c r="V26" i="29"/>
  <c r="V37" i="29"/>
  <c r="V32" i="29"/>
  <c r="V31" i="29"/>
  <c r="W33" i="29"/>
  <c r="W26" i="29"/>
  <c r="W34" i="29"/>
  <c r="W32" i="29"/>
  <c r="W36" i="29"/>
  <c r="W35" i="29"/>
  <c r="W37" i="29"/>
  <c r="W28" i="29"/>
  <c r="W31" i="29"/>
  <c r="W29" i="29"/>
  <c r="W25" i="29"/>
  <c r="W38" i="29"/>
  <c r="X32" i="29" l="1"/>
  <c r="X26" i="29"/>
  <c r="X37" i="29"/>
  <c r="X31" i="29"/>
  <c r="X28" i="29"/>
  <c r="X38" i="29"/>
  <c r="X29" i="29"/>
  <c r="X25" i="29"/>
  <c r="X36" i="29"/>
  <c r="X33" i="29"/>
  <c r="X34" i="29"/>
  <c r="X27" i="29"/>
  <c r="K14" i="28" s="1"/>
  <c r="K15" i="28" s="1"/>
  <c r="AB15" i="28" s="1"/>
  <c r="X35" i="29"/>
  <c r="U35" i="29" l="1"/>
  <c r="Y35" i="29" s="1"/>
  <c r="U26" i="29"/>
  <c r="Y26" i="29" s="1"/>
  <c r="U34" i="29"/>
  <c r="Y34" i="29" s="1"/>
  <c r="U36" i="29"/>
  <c r="Y36" i="29" s="1"/>
  <c r="U37" i="29"/>
  <c r="Y37" i="29" s="1"/>
  <c r="U28" i="29"/>
  <c r="Y28" i="29" s="1"/>
  <c r="U33" i="29"/>
  <c r="Y33" i="29" s="1"/>
  <c r="U38" i="29"/>
  <c r="Y38" i="29" s="1"/>
  <c r="U32" i="29"/>
  <c r="Y32" i="29" s="1"/>
  <c r="U29" i="29"/>
  <c r="Y29" i="29" s="1"/>
  <c r="U25" i="29"/>
  <c r="Y27" i="29"/>
  <c r="U31" i="29"/>
  <c r="Y31" i="29" s="1"/>
  <c r="U21" i="29" l="1"/>
  <c r="Y25" i="29"/>
  <c r="Y39" i="29" s="1"/>
  <c r="D3" i="29" s="1"/>
  <c r="E4" i="15" l="1"/>
  <c r="AB7" i="15"/>
  <c r="AB6" i="15"/>
  <c r="AJ12" i="27"/>
  <c r="R6" i="27"/>
  <c r="X54" i="27"/>
  <c r="X105" i="27"/>
  <c r="T33" i="13" l="1"/>
  <c r="AJ92" i="27" l="1"/>
  <c r="AJ42" i="27"/>
  <c r="X60" i="27" s="1"/>
  <c r="Q12" i="27"/>
  <c r="R52" i="27" s="1"/>
  <c r="F6" i="27"/>
  <c r="K103" i="27"/>
  <c r="Q99" i="27"/>
  <c r="W99" i="27" s="1"/>
  <c r="Q98" i="27"/>
  <c r="W98" i="27" s="1"/>
  <c r="Q96" i="27"/>
  <c r="W96" i="27" s="1"/>
  <c r="Q95" i="27"/>
  <c r="W95" i="27" s="1"/>
  <c r="Q94" i="27"/>
  <c r="W94" i="27" s="1"/>
  <c r="Q93" i="27"/>
  <c r="W93" i="27" s="1"/>
  <c r="Q49" i="27"/>
  <c r="W49" i="27" s="1"/>
  <c r="Q48" i="27"/>
  <c r="W48" i="27" s="1"/>
  <c r="Q46" i="27"/>
  <c r="W46" i="27" s="1"/>
  <c r="Q45" i="27"/>
  <c r="W45" i="27" s="1"/>
  <c r="Q44" i="27"/>
  <c r="W44" i="27" s="1"/>
  <c r="Q43" i="27"/>
  <c r="W43" i="27" s="1"/>
  <c r="R103" i="27" l="1"/>
  <c r="W50" i="27"/>
  <c r="X56" i="27" s="1"/>
  <c r="X111" i="27"/>
  <c r="X58" i="27"/>
  <c r="X62" i="27" s="1"/>
  <c r="W101" i="27"/>
  <c r="X107" i="27" s="1"/>
  <c r="X109" i="27" s="1"/>
  <c r="X113" i="27" s="1"/>
  <c r="F9" i="20" l="1"/>
  <c r="F8" i="20"/>
  <c r="M9" i="20"/>
  <c r="N9" i="20" s="1"/>
  <c r="M8" i="20"/>
  <c r="N8" i="20" s="1"/>
  <c r="BF22" i="15"/>
  <c r="BB22" i="15"/>
  <c r="BF20" i="15"/>
  <c r="BB20" i="15"/>
  <c r="L5" i="2"/>
  <c r="L4" i="2"/>
  <c r="AH51" i="15"/>
  <c r="L99" i="25"/>
  <c r="R110" i="25" s="1"/>
  <c r="R126" i="25" s="1"/>
  <c r="R127" i="25"/>
  <c r="R129" i="25" s="1"/>
  <c r="R131" i="25" s="1"/>
  <c r="O96" i="25"/>
  <c r="F96" i="25"/>
  <c r="C7" i="25"/>
  <c r="C94" i="25" s="1"/>
  <c r="Q6" i="25"/>
  <c r="K6" i="25"/>
  <c r="C6" i="25"/>
  <c r="J94" i="25" s="1"/>
  <c r="E8" i="24"/>
  <c r="V7" i="24"/>
  <c r="O7" i="24"/>
  <c r="E7" i="24"/>
  <c r="O126" i="25"/>
  <c r="L124" i="25"/>
  <c r="P124" i="25" s="1"/>
  <c r="L123" i="25"/>
  <c r="P123" i="25" s="1"/>
  <c r="L121" i="25"/>
  <c r="P121" i="25" s="1"/>
  <c r="L120" i="25"/>
  <c r="P120" i="25" s="1"/>
  <c r="L119" i="25"/>
  <c r="P119" i="25" s="1"/>
  <c r="L118" i="25"/>
  <c r="P118" i="25" s="1"/>
  <c r="L108" i="25"/>
  <c r="P108" i="25" s="1"/>
  <c r="L107" i="25"/>
  <c r="P107" i="25" s="1"/>
  <c r="L105" i="25"/>
  <c r="P105" i="25" s="1"/>
  <c r="L104" i="25"/>
  <c r="P104" i="25" s="1"/>
  <c r="L103" i="25"/>
  <c r="P103" i="25" s="1"/>
  <c r="L102" i="25"/>
  <c r="P102" i="25" s="1"/>
  <c r="A93" i="25"/>
  <c r="A92" i="25"/>
  <c r="O56" i="25"/>
  <c r="I56" i="25"/>
  <c r="O55" i="25"/>
  <c r="I55" i="25"/>
  <c r="O54" i="25"/>
  <c r="I54" i="25"/>
  <c r="O53" i="25"/>
  <c r="I53" i="25"/>
  <c r="C47" i="25"/>
  <c r="A46" i="25"/>
  <c r="A45" i="25"/>
  <c r="R130" i="25" l="1"/>
  <c r="R114" i="25"/>
  <c r="R111" i="25"/>
  <c r="R113" i="25" s="1"/>
  <c r="R115" i="25" s="1"/>
  <c r="P109" i="25"/>
  <c r="R112" i="25" s="1"/>
  <c r="P125" i="25"/>
  <c r="R128" i="25" s="1"/>
  <c r="DE11" i="15" l="1"/>
  <c r="N27" i="14"/>
  <c r="BF13" i="15" s="1"/>
  <c r="AB6" i="22"/>
  <c r="Z6" i="22"/>
  <c r="M6" i="22"/>
  <c r="M36" i="15"/>
  <c r="M35" i="15"/>
  <c r="M34" i="15"/>
  <c r="M33" i="15"/>
  <c r="M32" i="15"/>
  <c r="Q16" i="18"/>
  <c r="DC14" i="15"/>
  <c r="AB6" i="14"/>
  <c r="Z6" i="14"/>
  <c r="M6" i="14"/>
  <c r="N47" i="14" l="1"/>
  <c r="N50" i="14"/>
  <c r="D51" i="16"/>
  <c r="B7" i="17" s="1"/>
  <c r="D50" i="16"/>
  <c r="B6" i="17" s="1"/>
  <c r="D49" i="16"/>
  <c r="B5" i="17" s="1"/>
  <c r="D48" i="16"/>
  <c r="B4" i="17" s="1"/>
  <c r="AT1" i="15"/>
  <c r="CT5" i="15"/>
  <c r="DI5" i="15"/>
  <c r="DC5" i="15"/>
  <c r="DI4" i="15"/>
  <c r="DC4" i="15"/>
  <c r="CT4" i="15"/>
  <c r="BB21" i="15"/>
  <c r="BB19" i="15"/>
  <c r="C41" i="15" l="1"/>
  <c r="AH30" i="22" l="1"/>
  <c r="AH29" i="22"/>
  <c r="AH28" i="22"/>
  <c r="AH27" i="22"/>
  <c r="AH26" i="22"/>
  <c r="N19" i="22"/>
  <c r="N17" i="22"/>
  <c r="AD17" i="22" s="1"/>
  <c r="AJ17" i="22" s="1"/>
  <c r="N15" i="22"/>
  <c r="N13" i="22"/>
  <c r="AD13" i="22" s="1"/>
  <c r="J44" i="22"/>
  <c r="J43" i="22"/>
  <c r="X43" i="22"/>
  <c r="X22" i="22"/>
  <c r="AD40" i="22"/>
  <c r="AL39" i="22"/>
  <c r="AH39" i="22"/>
  <c r="AL38" i="22"/>
  <c r="AH38" i="22"/>
  <c r="AL37" i="22"/>
  <c r="AH37" i="22"/>
  <c r="AL36" i="22"/>
  <c r="AH36" i="22"/>
  <c r="AH35" i="22"/>
  <c r="X44" i="22" s="1"/>
  <c r="AD31" i="22"/>
  <c r="AL30" i="22"/>
  <c r="AL29" i="22"/>
  <c r="AL28" i="22"/>
  <c r="AL27" i="22"/>
  <c r="AD19" i="22"/>
  <c r="AJ19" i="22" s="1"/>
  <c r="AD15" i="22"/>
  <c r="AJ15" i="22" s="1"/>
  <c r="AI5" i="22"/>
  <c r="AF5" i="22"/>
  <c r="Y5" i="22"/>
  <c r="P5" i="22"/>
  <c r="AK45" i="22" l="1"/>
  <c r="AK46" i="22"/>
  <c r="AL35" i="22"/>
  <c r="AL40" i="22" s="1"/>
  <c r="AL26" i="22"/>
  <c r="AL31" i="22" s="1"/>
  <c r="AD22" i="22"/>
  <c r="AJ13" i="22"/>
  <c r="AJ22" i="22" s="1"/>
  <c r="AK44" i="22"/>
  <c r="AH31" i="22"/>
  <c r="AH40" i="22"/>
  <c r="AK43" i="22"/>
  <c r="AK47" i="22" l="1"/>
  <c r="W15" i="15"/>
  <c r="F15" i="15"/>
  <c r="BE48" i="15"/>
  <c r="BE47" i="15"/>
  <c r="BE46" i="15"/>
  <c r="BE45" i="15"/>
  <c r="BE44" i="15"/>
  <c r="BE35" i="15"/>
  <c r="BE34" i="15"/>
  <c r="BE33" i="15"/>
  <c r="BE32" i="15"/>
  <c r="BA48" i="15" l="1"/>
  <c r="AY48" i="15"/>
  <c r="AW48" i="15"/>
  <c r="AH48" i="15"/>
  <c r="BA47" i="15"/>
  <c r="AY47" i="15"/>
  <c r="AW47" i="15"/>
  <c r="AH47" i="15"/>
  <c r="BA46" i="15"/>
  <c r="AY46" i="15"/>
  <c r="AW46" i="15"/>
  <c r="AH46" i="15"/>
  <c r="BA45" i="15"/>
  <c r="AY45" i="15"/>
  <c r="AW45" i="15"/>
  <c r="AH45" i="15"/>
  <c r="BA44" i="15"/>
  <c r="AY44" i="15"/>
  <c r="AW44" i="15"/>
  <c r="AH44" i="15"/>
  <c r="BA43" i="15"/>
  <c r="AY43" i="15"/>
  <c r="AW43" i="15"/>
  <c r="AH43" i="15"/>
  <c r="BA42" i="15"/>
  <c r="AY42" i="15"/>
  <c r="AW42" i="15"/>
  <c r="AH42" i="15"/>
  <c r="BA41" i="15"/>
  <c r="AY41" i="15"/>
  <c r="AW41" i="15"/>
  <c r="AH41" i="15"/>
  <c r="AY40" i="15"/>
  <c r="BA40" i="15"/>
  <c r="AW40" i="15"/>
  <c r="AH40" i="15"/>
  <c r="BA36" i="15"/>
  <c r="AY36" i="15"/>
  <c r="AW36" i="15"/>
  <c r="AH36" i="15"/>
  <c r="BA35" i="15"/>
  <c r="AY35" i="15"/>
  <c r="AW35" i="15"/>
  <c r="AH35" i="15"/>
  <c r="BA34" i="15"/>
  <c r="AY34" i="15"/>
  <c r="AW34" i="15"/>
  <c r="AH34" i="15"/>
  <c r="BA33" i="15"/>
  <c r="AY33" i="15"/>
  <c r="AW33" i="15"/>
  <c r="AH33" i="15"/>
  <c r="BA32" i="15"/>
  <c r="AY32" i="15"/>
  <c r="AW32" i="15"/>
  <c r="AH32" i="15"/>
  <c r="BA31" i="15"/>
  <c r="AY31" i="15"/>
  <c r="AW31" i="15"/>
  <c r="AH31" i="15"/>
  <c r="BA30" i="15"/>
  <c r="AY30" i="15"/>
  <c r="AW30" i="15"/>
  <c r="AH30" i="15"/>
  <c r="BA29" i="15"/>
  <c r="AY29" i="15"/>
  <c r="AW29" i="15"/>
  <c r="AH29" i="15"/>
  <c r="BA28" i="15"/>
  <c r="AY28" i="15"/>
  <c r="AW28" i="15"/>
  <c r="AH28" i="15"/>
  <c r="BB24" i="15"/>
  <c r="AZ24" i="15"/>
  <c r="AW24" i="15"/>
  <c r="DS24" i="15" s="1"/>
  <c r="BB23" i="15"/>
  <c r="AZ23" i="15"/>
  <c r="AW23" i="15"/>
  <c r="DS23" i="15" s="1"/>
  <c r="DC22" i="15"/>
  <c r="CX22" i="15"/>
  <c r="CQ22" i="15"/>
  <c r="CF22" i="15"/>
  <c r="BV22" i="15"/>
  <c r="BN22" i="15"/>
  <c r="AZ22" i="15"/>
  <c r="AW22" i="15"/>
  <c r="DC20" i="15"/>
  <c r="CX20" i="15"/>
  <c r="CQ20" i="15"/>
  <c r="CF20" i="15"/>
  <c r="BV20" i="15"/>
  <c r="BN20" i="15"/>
  <c r="AZ20" i="15"/>
  <c r="AW20" i="15"/>
  <c r="DC21" i="15"/>
  <c r="CX21" i="15"/>
  <c r="CQ21" i="15"/>
  <c r="CF21" i="15"/>
  <c r="BV21" i="15"/>
  <c r="AZ21" i="15"/>
  <c r="AW21" i="15"/>
  <c r="DC19" i="15"/>
  <c r="CX19" i="15"/>
  <c r="CQ19" i="15"/>
  <c r="CF19" i="15"/>
  <c r="BV19" i="15"/>
  <c r="AZ19" i="15"/>
  <c r="AW19" i="15"/>
  <c r="CV18" i="15"/>
  <c r="CQ18" i="15"/>
  <c r="CF18" i="15"/>
  <c r="BV18" i="15"/>
  <c r="BA49" i="15" l="1"/>
  <c r="CF24" i="15"/>
  <c r="CQ24" i="15"/>
  <c r="CQ23" i="15"/>
  <c r="BV23" i="15"/>
  <c r="DW23" i="15"/>
  <c r="CF23" i="15"/>
  <c r="DW24" i="15"/>
  <c r="DJ23" i="15"/>
  <c r="DO23" i="15"/>
  <c r="DJ24" i="15"/>
  <c r="ED23" i="15"/>
  <c r="DO24" i="15"/>
  <c r="DA23" i="15"/>
  <c r="ED24" i="15"/>
  <c r="BV24" i="15"/>
  <c r="DA24" i="15"/>
  <c r="AR18" i="15"/>
  <c r="AR17" i="15"/>
  <c r="CQ17" i="15"/>
  <c r="CF17" i="15"/>
  <c r="BV17" i="15"/>
  <c r="CF16" i="15"/>
  <c r="BV16" i="15"/>
  <c r="CF15" i="15"/>
  <c r="BV15" i="15"/>
  <c r="CK14" i="15"/>
  <c r="CK13" i="15"/>
  <c r="CC14" i="15"/>
  <c r="BV14" i="15"/>
  <c r="CC13" i="15"/>
  <c r="BV13" i="15"/>
  <c r="CK12" i="15"/>
  <c r="CC12" i="15"/>
  <c r="BV12" i="15"/>
  <c r="CK11" i="15"/>
  <c r="CC11" i="15"/>
  <c r="BV11" i="15"/>
  <c r="CK5" i="15"/>
  <c r="CC5" i="15"/>
  <c r="BV5" i="15"/>
  <c r="A34" i="15"/>
  <c r="A35" i="15"/>
  <c r="A36" i="15"/>
  <c r="A33" i="15"/>
  <c r="A32" i="15"/>
  <c r="H26" i="15"/>
  <c r="DI3" i="15"/>
  <c r="DB3" i="15"/>
  <c r="CV3" i="15"/>
  <c r="CO3" i="15"/>
  <c r="CK3" i="15"/>
  <c r="CK4" i="15"/>
  <c r="CC4" i="15"/>
  <c r="BV4" i="15"/>
  <c r="D24" i="20"/>
  <c r="D23" i="20"/>
  <c r="E22" i="20"/>
  <c r="E21" i="20"/>
  <c r="CC3" i="15" l="1"/>
  <c r="BV3" i="15"/>
  <c r="BN16" i="15"/>
  <c r="BN14" i="15"/>
  <c r="AH13" i="15"/>
  <c r="BN13" i="15" s="1"/>
  <c r="BN12" i="15"/>
  <c r="BN11" i="15"/>
  <c r="BN10" i="15"/>
  <c r="BN7" i="15"/>
  <c r="BN6" i="15"/>
  <c r="BN5" i="15"/>
  <c r="BN4" i="15"/>
  <c r="BN3" i="15"/>
  <c r="AW17" i="15"/>
  <c r="AH24" i="15"/>
  <c r="AH23" i="15"/>
  <c r="AH21" i="15"/>
  <c r="AH19" i="15"/>
  <c r="BB17" i="15"/>
  <c r="AH17" i="15"/>
  <c r="BN17" i="15" s="1"/>
  <c r="BB18" i="15"/>
  <c r="BB16" i="15"/>
  <c r="AH15" i="15"/>
  <c r="BN15" i="15" s="1"/>
  <c r="BB15" i="15"/>
  <c r="BB14" i="15"/>
  <c r="BB13" i="15"/>
  <c r="BB12" i="15"/>
  <c r="BB10" i="15"/>
  <c r="AZ17" i="15"/>
  <c r="AZ18" i="15"/>
  <c r="AZ16" i="15"/>
  <c r="AZ15" i="15"/>
  <c r="AZ14" i="15"/>
  <c r="AZ13" i="15"/>
  <c r="AZ12" i="15"/>
  <c r="AZ11" i="15"/>
  <c r="N23" i="14"/>
  <c r="N21" i="14"/>
  <c r="BF11" i="15" l="1"/>
  <c r="J9" i="20"/>
  <c r="C9" i="20"/>
  <c r="BF10" i="15"/>
  <c r="J8" i="20"/>
  <c r="C8" i="20"/>
  <c r="BJ17" i="15"/>
  <c r="BB11" i="15"/>
  <c r="AW11" i="15"/>
  <c r="AZ10" i="15"/>
  <c r="AW10" i="15"/>
  <c r="BJ10" i="15" s="1"/>
  <c r="AD21" i="14"/>
  <c r="AJ21" i="14" s="1"/>
  <c r="AZ5" i="15"/>
  <c r="AZ4" i="15"/>
  <c r="AZ3" i="15"/>
  <c r="AW18" i="15"/>
  <c r="BJ18" i="15" s="1"/>
  <c r="AW16" i="15"/>
  <c r="BJ16" i="15" s="1"/>
  <c r="AW15" i="15"/>
  <c r="BJ15" i="15" s="1"/>
  <c r="AW14" i="15"/>
  <c r="BJ14" i="15" s="1"/>
  <c r="AW13" i="15"/>
  <c r="BJ13" i="15" s="1"/>
  <c r="AW12" i="15"/>
  <c r="BJ12" i="15" s="1"/>
  <c r="AW4" i="15"/>
  <c r="AR16" i="15"/>
  <c r="AR15" i="15"/>
  <c r="H28" i="15"/>
  <c r="H27" i="15"/>
  <c r="H25" i="15"/>
  <c r="H24" i="15"/>
  <c r="H23" i="15"/>
  <c r="H22" i="15"/>
  <c r="W17" i="15"/>
  <c r="W16" i="15"/>
  <c r="W14" i="15"/>
  <c r="W13" i="15"/>
  <c r="F17" i="15"/>
  <c r="F16" i="15"/>
  <c r="F14" i="15"/>
  <c r="F13" i="15"/>
  <c r="W12" i="15"/>
  <c r="F12" i="15"/>
  <c r="N43" i="14"/>
  <c r="N41" i="14"/>
  <c r="BF18" i="15" s="1"/>
  <c r="N39" i="14"/>
  <c r="BJ11" i="15" l="1"/>
  <c r="AD39" i="14"/>
  <c r="BF17" i="15"/>
  <c r="AH71" i="14"/>
  <c r="BE41" i="15" s="1"/>
  <c r="AH72" i="14"/>
  <c r="BE42" i="15" s="1"/>
  <c r="AH73" i="14"/>
  <c r="BE43" i="15" s="1"/>
  <c r="AH74" i="14"/>
  <c r="AH75" i="14"/>
  <c r="AH76" i="14"/>
  <c r="AH77" i="14"/>
  <c r="AH78" i="14"/>
  <c r="AH70" i="14"/>
  <c r="H83" i="14"/>
  <c r="R7" i="15" s="1"/>
  <c r="AL78" i="14"/>
  <c r="AL77" i="14"/>
  <c r="AL76" i="14"/>
  <c r="AL75" i="14"/>
  <c r="AL74" i="14"/>
  <c r="AH65" i="14"/>
  <c r="BE36" i="15" s="1"/>
  <c r="AH57" i="14"/>
  <c r="BE28" i="15" s="1"/>
  <c r="AH64" i="14"/>
  <c r="AL64" i="14" s="1"/>
  <c r="AH63" i="14"/>
  <c r="AL63" i="14" s="1"/>
  <c r="AH62" i="14"/>
  <c r="AL62" i="14" s="1"/>
  <c r="AH61" i="14"/>
  <c r="AL61" i="14" s="1"/>
  <c r="AH60" i="14"/>
  <c r="AH59" i="14"/>
  <c r="BE30" i="15" s="1"/>
  <c r="AH58" i="14"/>
  <c r="BE29" i="15" s="1"/>
  <c r="X53" i="14"/>
  <c r="AD41" i="14"/>
  <c r="T10" i="14"/>
  <c r="AL60" i="14" l="1"/>
  <c r="BE31" i="15"/>
  <c r="AL65" i="14"/>
  <c r="AW3" i="15"/>
  <c r="BE40" i="15"/>
  <c r="AJ41" i="14"/>
  <c r="AL73" i="14"/>
  <c r="AL72" i="14"/>
  <c r="AL59" i="14"/>
  <c r="AL57" i="14"/>
  <c r="AL70" i="14"/>
  <c r="N10" i="14"/>
  <c r="BF3" i="15" s="1"/>
  <c r="AL71" i="14"/>
  <c r="AL58" i="14"/>
  <c r="F26" i="20"/>
  <c r="F25" i="20"/>
  <c r="BB3" i="15" l="1"/>
  <c r="BJ3" i="15" s="1"/>
  <c r="AD10" i="14"/>
  <c r="G25" i="20"/>
  <c r="G26" i="20"/>
  <c r="AD66" i="14"/>
  <c r="C31" i="20" s="1"/>
  <c r="AD79" i="14"/>
  <c r="AL79" i="14"/>
  <c r="AL66" i="14"/>
  <c r="T18" i="14"/>
  <c r="T12" i="14"/>
  <c r="N18" i="14" l="1"/>
  <c r="BB9" i="15"/>
  <c r="BJ9" i="15" s="1"/>
  <c r="BB8" i="15"/>
  <c r="BJ8" i="15" s="1"/>
  <c r="AJ10" i="14"/>
  <c r="BB5" i="15"/>
  <c r="BJ5" i="15" s="1"/>
  <c r="BB4" i="15"/>
  <c r="BJ4" i="15" s="1"/>
  <c r="C33" i="20"/>
  <c r="BJ6" i="15"/>
  <c r="BJ7" i="15"/>
  <c r="AH79" i="14"/>
  <c r="C32" i="20" s="1"/>
  <c r="AH66" i="14"/>
  <c r="J7" i="20" l="1"/>
  <c r="C7" i="20"/>
  <c r="BF8" i="15"/>
  <c r="BF9" i="15"/>
  <c r="I27" i="20"/>
  <c r="R6" i="15"/>
  <c r="AK84" i="14"/>
  <c r="H45" i="15" s="1"/>
  <c r="M13" i="20"/>
  <c r="N13" i="20" s="1"/>
  <c r="M12" i="20"/>
  <c r="N12" i="20" s="1"/>
  <c r="M11" i="20"/>
  <c r="N11" i="20" s="1"/>
  <c r="M10" i="20"/>
  <c r="N10" i="20" s="1"/>
  <c r="F13" i="20"/>
  <c r="F12" i="20"/>
  <c r="F11" i="20"/>
  <c r="F10" i="20"/>
  <c r="G10" i="20" l="1"/>
  <c r="G12" i="20"/>
  <c r="G13" i="20"/>
  <c r="G8" i="20"/>
  <c r="G9" i="20"/>
  <c r="G11" i="20"/>
  <c r="J13" i="20"/>
  <c r="C13" i="20"/>
  <c r="F24" i="20"/>
  <c r="F23" i="20"/>
  <c r="F22" i="20"/>
  <c r="G22" i="20" s="1"/>
  <c r="F21" i="20"/>
  <c r="G21" i="20" s="1"/>
  <c r="F20" i="20"/>
  <c r="F19" i="20"/>
  <c r="G19" i="20" s="1"/>
  <c r="F18" i="20"/>
  <c r="F17" i="20"/>
  <c r="B24" i="20"/>
  <c r="B23" i="20"/>
  <c r="B22" i="20"/>
  <c r="B21" i="20"/>
  <c r="AK86" i="14"/>
  <c r="F12" i="19"/>
  <c r="D5" i="18"/>
  <c r="AI5" i="14"/>
  <c r="AF5" i="14"/>
  <c r="Y5" i="14"/>
  <c r="P5" i="14"/>
  <c r="K5" i="18"/>
  <c r="M37" i="15"/>
  <c r="G17" i="20" l="1"/>
  <c r="G20" i="20"/>
  <c r="G18" i="20"/>
  <c r="G23" i="20"/>
  <c r="G24" i="20"/>
  <c r="V28" i="14"/>
  <c r="F7" i="15"/>
  <c r="F6" i="15"/>
  <c r="V3" i="15"/>
  <c r="M3" i="15"/>
  <c r="D3" i="15"/>
  <c r="D2" i="15"/>
  <c r="G27" i="20" l="1"/>
  <c r="H27" i="20" s="1"/>
  <c r="N29" i="14"/>
  <c r="BF14" i="15" s="1"/>
  <c r="N25" i="14"/>
  <c r="BF12" i="15" s="1"/>
  <c r="AD23" i="14"/>
  <c r="N37" i="14"/>
  <c r="N35" i="14"/>
  <c r="AD50" i="14"/>
  <c r="AD47" i="14"/>
  <c r="N45" i="14"/>
  <c r="AD45" i="14" s="1"/>
  <c r="BF21" i="15" s="1"/>
  <c r="AD43" i="14"/>
  <c r="BF19" i="15" s="1"/>
  <c r="C20" i="20"/>
  <c r="C48" i="17"/>
  <c r="C47" i="17"/>
  <c r="C46" i="17"/>
  <c r="C44" i="17"/>
  <c r="C43" i="17"/>
  <c r="C42" i="17"/>
  <c r="C40" i="17"/>
  <c r="C39" i="17"/>
  <c r="C38" i="17"/>
  <c r="C37" i="17"/>
  <c r="C36" i="17"/>
  <c r="C35" i="17"/>
  <c r="C34" i="17"/>
  <c r="C33" i="17"/>
  <c r="C31" i="17"/>
  <c r="C30" i="17"/>
  <c r="C29" i="17"/>
  <c r="C28" i="17"/>
  <c r="C27" i="17"/>
  <c r="C26" i="17"/>
  <c r="C25" i="17"/>
  <c r="C24" i="17"/>
  <c r="C15" i="17"/>
  <c r="C14" i="17"/>
  <c r="C13" i="17"/>
  <c r="C12" i="17"/>
  <c r="C11" i="17"/>
  <c r="C10" i="17"/>
  <c r="C7" i="17"/>
  <c r="C6" i="17"/>
  <c r="C5" i="17"/>
  <c r="C4" i="17"/>
  <c r="C3" i="17"/>
  <c r="AJ50" i="14" l="1"/>
  <c r="BF24" i="15"/>
  <c r="AJ47" i="14"/>
  <c r="BF23" i="15"/>
  <c r="AJ45" i="14"/>
  <c r="AJ43" i="14"/>
  <c r="AD35" i="14"/>
  <c r="BF15" i="15"/>
  <c r="AD37" i="14"/>
  <c r="AJ37" i="14" s="1"/>
  <c r="BF16" i="15"/>
  <c r="AD25" i="14"/>
  <c r="AJ25" i="14" s="1"/>
  <c r="AD29" i="14"/>
  <c r="AJ29" i="14" s="1"/>
  <c r="AD27" i="14"/>
  <c r="AJ27" i="14" s="1"/>
  <c r="AJ23" i="14"/>
  <c r="C18" i="20"/>
  <c r="C26" i="12"/>
  <c r="B26" i="12"/>
  <c r="C19" i="20"/>
  <c r="F4" i="20"/>
  <c r="M4" i="20"/>
  <c r="J11" i="20"/>
  <c r="C11" i="20"/>
  <c r="J10" i="20"/>
  <c r="C10" i="20"/>
  <c r="C23" i="20"/>
  <c r="J12" i="20"/>
  <c r="C12" i="20"/>
  <c r="C24" i="20"/>
  <c r="C17" i="20"/>
  <c r="C22" i="20"/>
  <c r="C21" i="20"/>
  <c r="N4" i="20" l="1"/>
  <c r="Q5" i="20"/>
  <c r="AJ35" i="14"/>
  <c r="AD53" i="14"/>
  <c r="G4" i="20"/>
  <c r="AJ39" i="14"/>
  <c r="E90" i="16"/>
  <c r="B20" i="12"/>
  <c r="B19" i="12"/>
  <c r="D95" i="16"/>
  <c r="D94" i="16"/>
  <c r="E93" i="16"/>
  <c r="B14" i="12"/>
  <c r="E92" i="16"/>
  <c r="B13" i="12"/>
  <c r="E91" i="16"/>
  <c r="B12" i="12"/>
  <c r="E15" i="16"/>
  <c r="B11" i="12"/>
  <c r="E14" i="16"/>
  <c r="B10" i="12"/>
  <c r="E12" i="16"/>
  <c r="C10" i="12"/>
  <c r="D14" i="16" s="1"/>
  <c r="B9" i="12"/>
  <c r="E11" i="16"/>
  <c r="B8" i="12"/>
  <c r="E10" i="16"/>
  <c r="B7" i="12"/>
  <c r="E8" i="16"/>
  <c r="B5" i="12"/>
  <c r="E7" i="16"/>
  <c r="B4" i="12"/>
  <c r="E6" i="16"/>
  <c r="D6" i="16"/>
  <c r="B3" i="12"/>
  <c r="C95" i="16"/>
  <c r="C94" i="16"/>
  <c r="C93" i="16"/>
  <c r="C92" i="16"/>
  <c r="C91" i="16"/>
  <c r="C90" i="16"/>
  <c r="B48" i="17"/>
  <c r="C87" i="16"/>
  <c r="B47" i="17"/>
  <c r="C86" i="16"/>
  <c r="B46" i="17"/>
  <c r="C85" i="16"/>
  <c r="B44" i="17"/>
  <c r="C82" i="16"/>
  <c r="B43" i="17"/>
  <c r="C81" i="16"/>
  <c r="B42" i="17"/>
  <c r="C80" i="16"/>
  <c r="C78" i="16"/>
  <c r="B40" i="17"/>
  <c r="C76" i="16"/>
  <c r="B39" i="17"/>
  <c r="C75" i="16"/>
  <c r="B38" i="17"/>
  <c r="C74" i="16"/>
  <c r="B37" i="17"/>
  <c r="C73" i="16"/>
  <c r="B36" i="17"/>
  <c r="C72" i="16"/>
  <c r="B35" i="17"/>
  <c r="C71" i="16"/>
  <c r="B34" i="17"/>
  <c r="C70" i="16"/>
  <c r="B33" i="17"/>
  <c r="C69" i="16"/>
  <c r="B31" i="17"/>
  <c r="C67" i="16"/>
  <c r="B30" i="17"/>
  <c r="C66" i="16"/>
  <c r="B29" i="17"/>
  <c r="C65" i="16"/>
  <c r="B28" i="17"/>
  <c r="C64" i="16"/>
  <c r="B27" i="17"/>
  <c r="C63" i="16"/>
  <c r="B26" i="17"/>
  <c r="C62" i="16"/>
  <c r="B25" i="17"/>
  <c r="C61" i="16"/>
  <c r="B24" i="17"/>
  <c r="C60" i="16"/>
  <c r="B15" i="17"/>
  <c r="C58" i="16"/>
  <c r="B14" i="17"/>
  <c r="C57" i="16"/>
  <c r="B13" i="17"/>
  <c r="C56" i="16"/>
  <c r="B12" i="17"/>
  <c r="C55" i="16"/>
  <c r="B11" i="17"/>
  <c r="C54" i="16"/>
  <c r="B10" i="17"/>
  <c r="C53" i="16"/>
  <c r="C51" i="16"/>
  <c r="C50" i="16"/>
  <c r="C49" i="16"/>
  <c r="C48" i="16"/>
  <c r="B3" i="17"/>
  <c r="C47" i="16"/>
  <c r="C15" i="16"/>
  <c r="C14" i="16"/>
  <c r="C12" i="16"/>
  <c r="C11" i="16"/>
  <c r="C10" i="16"/>
  <c r="C8" i="16"/>
  <c r="C7" i="16"/>
  <c r="C6" i="16"/>
  <c r="AJ53" i="14" l="1"/>
  <c r="M7" i="20" l="1"/>
  <c r="N7" i="20" s="1"/>
  <c r="F7" i="20"/>
  <c r="G7" i="20" s="1"/>
  <c r="M5" i="20"/>
  <c r="N5" i="20" s="1"/>
  <c r="F5" i="20"/>
  <c r="N12" i="14"/>
  <c r="BF4" i="15" l="1"/>
  <c r="BF5" i="15"/>
  <c r="BF6" i="15"/>
  <c r="BF7" i="15"/>
  <c r="AD12" i="14"/>
  <c r="AD18" i="14"/>
  <c r="S83" i="14" s="1"/>
  <c r="G5" i="20"/>
  <c r="C5" i="20"/>
  <c r="J5" i="20"/>
  <c r="C25" i="12"/>
  <c r="C24" i="12"/>
  <c r="G23" i="12"/>
  <c r="C23" i="12"/>
  <c r="G22" i="12"/>
  <c r="C22" i="12"/>
  <c r="G21" i="12"/>
  <c r="C21" i="12"/>
  <c r="C20" i="12"/>
  <c r="D90" i="16" s="1"/>
  <c r="G19" i="12"/>
  <c r="C19" i="12"/>
  <c r="D78" i="16" s="1"/>
  <c r="G18" i="12"/>
  <c r="G17" i="12"/>
  <c r="G16" i="12"/>
  <c r="G15" i="12"/>
  <c r="G14" i="12"/>
  <c r="C14" i="12"/>
  <c r="D93" i="16" s="1"/>
  <c r="G13" i="12"/>
  <c r="C13" i="12"/>
  <c r="D92" i="16" s="1"/>
  <c r="G12" i="12"/>
  <c r="C12" i="12"/>
  <c r="D91" i="16" s="1"/>
  <c r="G11" i="12"/>
  <c r="C11" i="12"/>
  <c r="D15" i="16" s="1"/>
  <c r="G10" i="12"/>
  <c r="G9" i="12"/>
  <c r="C9" i="12"/>
  <c r="D12" i="16" s="1"/>
  <c r="G8" i="12"/>
  <c r="C8" i="12"/>
  <c r="D11" i="16" s="1"/>
  <c r="G7" i="12"/>
  <c r="C7" i="12"/>
  <c r="D10" i="16" s="1"/>
  <c r="C5" i="12"/>
  <c r="D8" i="16" s="1"/>
  <c r="C4" i="12"/>
  <c r="D7" i="16" s="1"/>
  <c r="W7" i="15" l="1"/>
  <c r="S82" i="14"/>
  <c r="AD31" i="14"/>
  <c r="AJ18" i="14"/>
  <c r="AJ12" i="14"/>
  <c r="N14" i="20"/>
  <c r="G28" i="20" s="1"/>
  <c r="G14" i="20"/>
  <c r="AK83" i="14"/>
  <c r="AJ31" i="14" l="1"/>
  <c r="W6" i="15"/>
  <c r="G14" i="19"/>
  <c r="G30" i="20"/>
  <c r="H28" i="20"/>
  <c r="AK85" i="14"/>
  <c r="C4" i="20"/>
  <c r="J4" i="20"/>
  <c r="C34" i="20" l="1"/>
  <c r="J27" i="20"/>
  <c r="AK82" i="14"/>
  <c r="G18" i="19" s="1"/>
  <c r="AK87" i="14"/>
  <c r="AK89" i="14" s="1"/>
  <c r="AT89" i="14" l="1"/>
  <c r="AK48"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DeSignor, Caryn</author>
  </authors>
  <commentList>
    <comment ref="M11" authorId="0" shapeId="0" xr:uid="{88B21DE9-3238-4BF7-9153-D9B9BAB99D2A}">
      <text>
        <r>
          <rPr>
            <sz val="9"/>
            <color indexed="81"/>
            <rFont val="Tahoma"/>
            <family val="2"/>
          </rPr>
          <t>At reservation enter post-test target blower door number</t>
        </r>
      </text>
    </comment>
    <comment ref="P11" authorId="0" shapeId="0" xr:uid="{FDA83E2D-BFC0-4402-AB4D-778C9EA4D7A2}">
      <text>
        <r>
          <rPr>
            <sz val="9"/>
            <color indexed="81"/>
            <rFont val="Tahoma"/>
            <family val="2"/>
          </rPr>
          <t>Check the materials used for the measure.</t>
        </r>
      </text>
    </comment>
    <comment ref="T11" authorId="0" shapeId="0" xr:uid="{83E5797F-A210-41B2-AB07-890690C94589}">
      <text>
        <r>
          <rPr>
            <sz val="9"/>
            <color indexed="81"/>
            <rFont val="Tahoma"/>
            <family val="2"/>
          </rPr>
          <t>Select</t>
        </r>
      </text>
    </comment>
    <comment ref="W11" authorId="0" shapeId="0" xr:uid="{7103B0CC-51A6-4257-BEE9-A79D9CA7ACD6}">
      <text>
        <r>
          <rPr>
            <sz val="9"/>
            <color indexed="81"/>
            <rFont val="Tahoma"/>
            <family val="2"/>
          </rPr>
          <t>Select</t>
        </r>
      </text>
    </comment>
    <comment ref="AB11" authorId="0" shapeId="0" xr:uid="{CA45D81A-6A32-4142-9C4D-3168B73859F4}">
      <text>
        <r>
          <rPr>
            <sz val="9"/>
            <color indexed="81"/>
            <rFont val="Tahoma"/>
            <family val="2"/>
          </rPr>
          <t>Select</t>
        </r>
      </text>
    </comment>
    <comment ref="AG11" authorId="0" shapeId="0" xr:uid="{9128665A-4BDF-4DAC-B4F9-4F14F2055B58}">
      <text>
        <r>
          <rPr>
            <sz val="9"/>
            <color indexed="81"/>
            <rFont val="Tahoma"/>
            <family val="2"/>
          </rPr>
          <t>Select</t>
        </r>
      </text>
    </comment>
    <comment ref="AM11" authorId="0" shapeId="0" xr:uid="{94A4C5F3-DAD6-4B35-8FD8-AC136E8E25BE}">
      <text>
        <r>
          <rPr>
            <sz val="9"/>
            <color indexed="81"/>
            <rFont val="Tahoma"/>
            <family val="2"/>
          </rPr>
          <t>Select</t>
        </r>
      </text>
    </comment>
    <comment ref="J13" authorId="0" shapeId="0" xr:uid="{831FE76A-E3C5-4BB1-9C36-43F23A6CB0F8}">
      <text>
        <r>
          <rPr>
            <sz val="9"/>
            <color indexed="81"/>
            <rFont val="Tahoma"/>
            <family val="2"/>
          </rPr>
          <t>Select a material from the drop down box.</t>
        </r>
      </text>
    </comment>
    <comment ref="U13" authorId="0" shapeId="0" xr:uid="{3B2F6C46-03B2-44B6-8818-41EC2B209C36}">
      <text>
        <r>
          <rPr>
            <sz val="9"/>
            <color indexed="81"/>
            <rFont val="Tahoma"/>
            <family val="2"/>
          </rPr>
          <t>Select one</t>
        </r>
      </text>
    </comment>
    <comment ref="AK13" authorId="0" shapeId="0" xr:uid="{AF8BC816-0554-45A8-87AD-3AFB0CD71388}">
      <text>
        <r>
          <rPr>
            <sz val="9"/>
            <color indexed="81"/>
            <rFont val="Tahoma"/>
            <family val="2"/>
          </rPr>
          <t>Select the material used from the drop down box.</t>
        </r>
      </text>
    </comment>
    <comment ref="J14" authorId="0" shapeId="0" xr:uid="{9AAAD2BE-57E7-438C-B4A3-CCB9D3AB145C}">
      <text>
        <r>
          <rPr>
            <sz val="9"/>
            <color indexed="81"/>
            <rFont val="Tahoma"/>
            <family val="2"/>
          </rPr>
          <t>Select a material from the drop down box.</t>
        </r>
      </text>
    </comment>
    <comment ref="U14" authorId="0" shapeId="0" xr:uid="{DC51CCBF-72A0-4D2A-857F-43D7D1EA79B6}">
      <text>
        <r>
          <rPr>
            <sz val="9"/>
            <color indexed="81"/>
            <rFont val="Tahoma"/>
            <family val="2"/>
          </rPr>
          <t>Select one</t>
        </r>
      </text>
    </comment>
    <comment ref="AK14" authorId="0" shapeId="0" xr:uid="{61BE2C47-AA3B-4C41-A832-94D25574A61E}">
      <text>
        <r>
          <rPr>
            <sz val="9"/>
            <color indexed="81"/>
            <rFont val="Tahoma"/>
            <family val="2"/>
          </rPr>
          <t>Select the material used from the drop down box.</t>
        </r>
      </text>
    </comment>
    <comment ref="J16" authorId="0" shapeId="0" xr:uid="{500FE14F-A37E-45B8-936F-C572636F7E0B}">
      <text>
        <r>
          <rPr>
            <sz val="9"/>
            <color indexed="81"/>
            <rFont val="Tahoma"/>
            <family val="2"/>
          </rPr>
          <t>Select a material from the drop down box.</t>
        </r>
      </text>
    </comment>
    <comment ref="U16" authorId="0" shapeId="0" xr:uid="{52590807-F887-4366-9E00-7BD27D7B77F5}">
      <text>
        <r>
          <rPr>
            <sz val="9"/>
            <color indexed="81"/>
            <rFont val="Tahoma"/>
            <family val="2"/>
          </rPr>
          <t>Select one</t>
        </r>
      </text>
    </comment>
    <comment ref="AK16" authorId="0" shapeId="0" xr:uid="{331BDB58-1BB9-4C62-B728-68F5D4806552}">
      <text>
        <r>
          <rPr>
            <sz val="9"/>
            <color indexed="81"/>
            <rFont val="Tahoma"/>
            <family val="2"/>
          </rPr>
          <t>Select the material used from the drop down box.</t>
        </r>
      </text>
    </comment>
    <comment ref="J17" authorId="0" shapeId="0" xr:uid="{8E98283C-5306-4490-98F7-DDDCD43525CC}">
      <text>
        <r>
          <rPr>
            <sz val="9"/>
            <color indexed="81"/>
            <rFont val="Tahoma"/>
            <family val="2"/>
          </rPr>
          <t>Select a material from the drop down box.</t>
        </r>
      </text>
    </comment>
    <comment ref="U17" authorId="0" shapeId="0" xr:uid="{93001EBC-118D-41FC-9F75-55B5D586C630}">
      <text>
        <r>
          <rPr>
            <sz val="9"/>
            <color indexed="81"/>
            <rFont val="Tahoma"/>
            <family val="2"/>
          </rPr>
          <t>Select one</t>
        </r>
      </text>
    </comment>
    <comment ref="AK17" authorId="0" shapeId="0" xr:uid="{6F556DD8-C9FB-4546-9829-740B69E41FED}">
      <text>
        <r>
          <rPr>
            <sz val="9"/>
            <color indexed="81"/>
            <rFont val="Tahoma"/>
            <family val="2"/>
          </rPr>
          <t>Select the material used from the drop down box.</t>
        </r>
      </text>
    </comment>
    <comment ref="J19" authorId="0" shapeId="0" xr:uid="{7D2904B7-4428-495E-8194-D8EF4920DC55}">
      <text>
        <r>
          <rPr>
            <sz val="9"/>
            <color indexed="81"/>
            <rFont val="Tahoma"/>
            <family val="2"/>
          </rPr>
          <t>Select a material from the drop down box.</t>
        </r>
      </text>
    </comment>
    <comment ref="U19" authorId="0" shapeId="0" xr:uid="{C00C31F6-40B9-41F0-9A8C-1F5895DB60DD}">
      <text>
        <r>
          <rPr>
            <sz val="9"/>
            <color indexed="81"/>
            <rFont val="Tahoma"/>
            <family val="2"/>
          </rPr>
          <t>Select one</t>
        </r>
      </text>
    </comment>
    <comment ref="AK19" authorId="0" shapeId="0" xr:uid="{D5372BBF-8194-4B95-95EB-6DF09B9EDB14}">
      <text>
        <r>
          <rPr>
            <sz val="9"/>
            <color indexed="81"/>
            <rFont val="Tahoma"/>
            <family val="2"/>
          </rPr>
          <t>Select the material used from the drop down box.</t>
        </r>
      </text>
    </comment>
    <comment ref="J20" authorId="0" shapeId="0" xr:uid="{DEC8821D-E884-4505-BEBD-8475642D769B}">
      <text>
        <r>
          <rPr>
            <sz val="9"/>
            <color indexed="81"/>
            <rFont val="Tahoma"/>
            <family val="2"/>
          </rPr>
          <t>Select a material from the drop down box.</t>
        </r>
      </text>
    </comment>
    <comment ref="U20" authorId="0" shapeId="0" xr:uid="{019F6F0D-3492-4B55-BBAB-C4DF29F8BF0C}">
      <text>
        <r>
          <rPr>
            <sz val="9"/>
            <color indexed="81"/>
            <rFont val="Tahoma"/>
            <family val="2"/>
          </rPr>
          <t>Select one</t>
        </r>
      </text>
    </comment>
    <comment ref="AK20" authorId="0" shapeId="0" xr:uid="{0DD6D11D-83BD-4081-9AF6-43B9915266FF}">
      <text>
        <r>
          <rPr>
            <sz val="9"/>
            <color indexed="81"/>
            <rFont val="Tahoma"/>
            <family val="2"/>
          </rPr>
          <t>Select the material used from the drop down box.</t>
        </r>
      </text>
    </comment>
    <comment ref="AK22" authorId="0" shapeId="0" xr:uid="{23AA1A2A-0734-43FF-9853-FF2BBC419715}">
      <text>
        <r>
          <rPr>
            <sz val="9"/>
            <color indexed="81"/>
            <rFont val="Tahoma"/>
            <family val="2"/>
          </rPr>
          <t>Select the material used from the drop down box.</t>
        </r>
      </text>
    </comment>
    <comment ref="N24" authorId="0" shapeId="0" xr:uid="{738EBAE8-0495-43A3-BDE3-71F71CD3DE7D}">
      <text>
        <r>
          <rPr>
            <sz val="9"/>
            <color indexed="81"/>
            <rFont val="Tahoma"/>
            <family val="2"/>
          </rPr>
          <t>Select a percentage</t>
        </r>
      </text>
    </comment>
    <comment ref="AK24" authorId="0" shapeId="0" xr:uid="{E35C7763-1344-40EF-9F75-D5193F1E13ED}">
      <text>
        <r>
          <rPr>
            <sz val="9"/>
            <color indexed="81"/>
            <rFont val="Tahoma"/>
            <family val="2"/>
          </rPr>
          <t>Select the material used from the drop down box.</t>
        </r>
      </text>
    </comment>
    <comment ref="AK26" authorId="0" shapeId="0" xr:uid="{238A3C1B-9328-4983-B623-5EA7E90FB097}">
      <text>
        <r>
          <rPr>
            <sz val="9"/>
            <color indexed="81"/>
            <rFont val="Tahoma"/>
            <family val="2"/>
          </rPr>
          <t>Select the material used from the drop down box.</t>
        </r>
      </text>
    </comment>
    <comment ref="D27" authorId="0" shapeId="0" xr:uid="{14D51A5C-93D1-4263-B426-31DDCADCA013}">
      <text>
        <r>
          <rPr>
            <sz val="9"/>
            <color indexed="81"/>
            <rFont val="Tahoma"/>
            <family val="2"/>
          </rPr>
          <t>Select a product from the drop down box.</t>
        </r>
      </text>
    </comment>
    <comment ref="L28" authorId="0" shapeId="0" xr:uid="{49C442BB-B474-409C-BCC4-45CD12475249}">
      <text>
        <r>
          <rPr>
            <sz val="9"/>
            <color indexed="81"/>
            <rFont val="Tahoma"/>
            <family val="2"/>
          </rPr>
          <t>Enter foundation wall height above ground in feet</t>
        </r>
      </text>
    </comment>
    <comment ref="R28" authorId="0" shapeId="0" xr:uid="{51A49EE2-BA10-4B1B-9B46-44D17F835EFA}">
      <text>
        <r>
          <rPr>
            <sz val="9"/>
            <color indexed="81"/>
            <rFont val="Tahoma"/>
            <family val="2"/>
          </rPr>
          <t>Enter foundation wall height below ground in feet</t>
        </r>
      </text>
    </comment>
    <comment ref="AK28" authorId="0" shapeId="0" xr:uid="{ED640E45-CC52-4310-AD83-6CCB51F5303B}">
      <text>
        <r>
          <rPr>
            <sz val="9"/>
            <color indexed="81"/>
            <rFont val="Tahoma"/>
            <family val="2"/>
          </rPr>
          <t>Select the material used from the drop down box.</t>
        </r>
      </text>
    </comment>
    <comment ref="N30" authorId="0" shapeId="0" xr:uid="{9DB7BE8D-2E49-45A7-A707-A79D826929FA}">
      <text>
        <r>
          <rPr>
            <sz val="9"/>
            <color indexed="81"/>
            <rFont val="Tahoma"/>
            <family val="2"/>
          </rPr>
          <t xml:space="preserve">Select a percentage
</t>
        </r>
      </text>
    </comment>
    <comment ref="AK30" authorId="0" shapeId="0" xr:uid="{6B35F092-89A2-4623-B3A2-604C5EECC44F}">
      <text>
        <r>
          <rPr>
            <sz val="9"/>
            <color indexed="81"/>
            <rFont val="Tahoma"/>
            <family val="2"/>
          </rPr>
          <t>Select the material used from the drop down box.</t>
        </r>
      </text>
    </comment>
    <comment ref="D35" authorId="0" shapeId="0" xr:uid="{9B7F1439-060C-42BF-A558-5FF0433AC862}">
      <text>
        <r>
          <rPr>
            <sz val="9"/>
            <color indexed="81"/>
            <rFont val="Tahoma"/>
            <family val="2"/>
          </rPr>
          <t>Select a product from the drop down box.</t>
        </r>
      </text>
    </comment>
    <comment ref="D39" authorId="0" shapeId="0" xr:uid="{36DAE57D-797E-4291-AE1E-D1877DA85F61}">
      <text>
        <r>
          <rPr>
            <sz val="9"/>
            <color indexed="81"/>
            <rFont val="Tahoma"/>
            <family val="2"/>
          </rPr>
          <t>Select a product from the drop down box.</t>
        </r>
      </text>
    </comment>
    <comment ref="AN40" authorId="0" shapeId="0" xr:uid="{1C74316D-02EF-4B01-9FA5-289858C98BBB}">
      <text>
        <r>
          <rPr>
            <sz val="9"/>
            <color indexed="81"/>
            <rFont val="Tahoma"/>
            <family val="2"/>
          </rPr>
          <t>Capacity must be entered for Tier 2 incentive to populate</t>
        </r>
      </text>
    </comment>
    <comment ref="AH42" authorId="0" shapeId="0" xr:uid="{E2ACFF4F-A7B5-4E40-A152-CE65AC1887F0}">
      <text>
        <r>
          <rPr>
            <sz val="9"/>
            <color indexed="81"/>
            <rFont val="Tahoma"/>
            <family val="2"/>
          </rPr>
          <t>Capacity must be entered for Tier 2 incentive to populate</t>
        </r>
      </text>
    </comment>
    <comment ref="D43" authorId="0" shapeId="0" xr:uid="{8B650C29-28E7-4235-995B-FBB10F01A057}">
      <text>
        <r>
          <rPr>
            <sz val="9"/>
            <color indexed="81"/>
            <rFont val="Tahoma"/>
            <family val="2"/>
          </rPr>
          <t>Select a product from the drop down box.</t>
        </r>
      </text>
    </comment>
    <comment ref="AI44" authorId="0" shapeId="0" xr:uid="{18A076BE-36A4-444E-A0D8-BA69F765C82E}">
      <text>
        <r>
          <rPr>
            <sz val="9"/>
            <color indexed="81"/>
            <rFont val="Tahoma"/>
            <family val="2"/>
          </rPr>
          <t>Capacity must be entered for Tier 2 incentive to populate</t>
        </r>
      </text>
    </comment>
    <comment ref="AO44" authorId="0" shapeId="0" xr:uid="{DC048E12-C231-4675-BAC6-769EC0C7965A}">
      <text>
        <r>
          <rPr>
            <sz val="9"/>
            <color indexed="81"/>
            <rFont val="Tahoma"/>
            <family val="2"/>
          </rPr>
          <t>Select "X" if equipped</t>
        </r>
      </text>
    </comment>
    <comment ref="D45" authorId="0" shapeId="0" xr:uid="{395C2461-0C55-4698-A449-968DCA212948}">
      <text>
        <r>
          <rPr>
            <sz val="9"/>
            <color indexed="81"/>
            <rFont val="Tahoma"/>
            <family val="2"/>
          </rPr>
          <t>Select a product from the drop down box.</t>
        </r>
      </text>
    </comment>
    <comment ref="AI46" authorId="0" shapeId="0" xr:uid="{576B4056-99DE-4BB4-9FA7-DD8C5DAC0E00}">
      <text>
        <r>
          <rPr>
            <sz val="9"/>
            <color indexed="81"/>
            <rFont val="Tahoma"/>
            <family val="2"/>
          </rPr>
          <t>Capacity must be entered for Tier 2 incentive to populate</t>
        </r>
      </text>
    </comment>
    <comment ref="AO46" authorId="0" shapeId="0" xr:uid="{92E3BD7A-02CE-436A-A097-23BD31C04A4B}">
      <text>
        <r>
          <rPr>
            <sz val="9"/>
            <color indexed="81"/>
            <rFont val="Tahoma"/>
            <family val="2"/>
          </rPr>
          <t>Select "X" if equipped</t>
        </r>
      </text>
    </comment>
    <comment ref="D47" authorId="0" shapeId="0" xr:uid="{FB74B158-AB73-4B4D-B6F3-D26E39F6B602}">
      <text>
        <r>
          <rPr>
            <sz val="9"/>
            <color indexed="81"/>
            <rFont val="Tahoma"/>
            <family val="2"/>
          </rPr>
          <t>Select a product from the drop down box.</t>
        </r>
      </text>
    </comment>
    <comment ref="J49" authorId="0" shapeId="0" xr:uid="{0016968A-35F7-4318-81B0-7EAD08961792}">
      <text>
        <r>
          <rPr>
            <sz val="9"/>
            <color indexed="81"/>
            <rFont val="Tahoma"/>
            <family val="2"/>
          </rPr>
          <t>Capacity must be entered for Tier 2 incentive to populate</t>
        </r>
      </text>
    </comment>
    <comment ref="D50" authorId="0" shapeId="0" xr:uid="{85407F6B-5BDC-47BC-9CBB-3B8026C22D73}">
      <text>
        <r>
          <rPr>
            <sz val="9"/>
            <color indexed="81"/>
            <rFont val="Tahoma"/>
            <family val="2"/>
          </rPr>
          <t>Select a product from the drop down box.</t>
        </r>
      </text>
    </comment>
    <comment ref="J52" authorId="0" shapeId="0" xr:uid="{17A5E0BB-706E-4FBA-84D3-B2B89C5698A9}">
      <text>
        <r>
          <rPr>
            <sz val="9"/>
            <color indexed="81"/>
            <rFont val="Tahoma"/>
            <family val="2"/>
          </rPr>
          <t>Capacity must be entered for Tier 2 incentive to populate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DeSignor, Caryn</author>
  </authors>
  <commentList>
    <comment ref="H14" authorId="0" shapeId="0" xr:uid="{0AC354F8-933C-41CB-ADB4-AD92F62F4738}">
      <text>
        <r>
          <rPr>
            <sz val="9"/>
            <color indexed="81"/>
            <rFont val="Tahoma"/>
            <family val="2"/>
          </rPr>
          <t>Select one</t>
        </r>
      </text>
    </comment>
    <comment ref="H16" authorId="0" shapeId="0" xr:uid="{29C074AC-D234-4260-81BB-B9B56EF5883F}">
      <text>
        <r>
          <rPr>
            <sz val="9"/>
            <color indexed="81"/>
            <rFont val="Tahoma"/>
            <family val="2"/>
          </rPr>
          <t>Select one</t>
        </r>
      </text>
    </comment>
    <comment ref="H18" authorId="0" shapeId="0" xr:uid="{F7669681-9480-4A14-845C-FDA4CF2B4EC3}">
      <text>
        <r>
          <rPr>
            <sz val="9"/>
            <color indexed="81"/>
            <rFont val="Tahoma"/>
            <family val="2"/>
          </rPr>
          <t>Select one</t>
        </r>
      </text>
    </comment>
    <comment ref="D19" authorId="0" shapeId="0" xr:uid="{EEDD3D3D-1BA0-4710-BC05-572DA72BBD0E}">
      <text>
        <r>
          <rPr>
            <sz val="9"/>
            <color indexed="81"/>
            <rFont val="Tahoma"/>
            <family val="2"/>
          </rPr>
          <t>Select a product from the drop down box.</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Marner, Scott A.</author>
    <author>DeSignor, Caryn</author>
  </authors>
  <commentList>
    <comment ref="AB24" authorId="0" shapeId="0" xr:uid="{705B5292-F8F6-4571-B2F2-40AD0D95D0BF}">
      <text>
        <r>
          <rPr>
            <sz val="9"/>
            <color indexed="81"/>
            <rFont val="Tahoma"/>
            <family val="2"/>
          </rPr>
          <t>Remember to subtract Baseline pressure</t>
        </r>
      </text>
    </comment>
    <comment ref="AC28" authorId="1" shapeId="0" xr:uid="{B1DA1C2E-1744-40EB-B882-67CD02DF5C56}">
      <text>
        <r>
          <rPr>
            <sz val="9"/>
            <color indexed="81"/>
            <rFont val="Tahoma"/>
            <family val="2"/>
          </rPr>
          <t>limit = 200 ppm air free</t>
        </r>
      </text>
    </comment>
    <comment ref="AC30" authorId="1" shapeId="0" xr:uid="{280AFC2F-5B62-420A-9576-AC7506AF244E}">
      <text>
        <r>
          <rPr>
            <sz val="9"/>
            <color indexed="81"/>
            <rFont val="Tahoma"/>
            <family val="2"/>
          </rPr>
          <t>limit = 400 ppm air free</t>
        </r>
      </text>
    </comment>
    <comment ref="AG32" authorId="1" shapeId="0" xr:uid="{0EA02768-983B-4D50-A5CE-3590E1791722}">
      <text>
        <r>
          <rPr>
            <sz val="9"/>
            <color indexed="81"/>
            <rFont val="Tahoma"/>
            <family val="2"/>
          </rPr>
          <t>limit = 225 as measured</t>
        </r>
      </text>
    </comment>
    <comment ref="K52" authorId="1" shapeId="0" xr:uid="{E05E124B-90C4-4C13-B7D3-E6B3B744FB41}">
      <text>
        <r>
          <rPr>
            <sz val="9"/>
            <color indexed="81"/>
            <rFont val="Tahoma"/>
            <family val="2"/>
          </rPr>
          <t>Select one based on location, refer to Section 4 below for table</t>
        </r>
      </text>
    </comment>
    <comment ref="AB74" authorId="0" shapeId="0" xr:uid="{9E2DAC72-977D-4E1E-8C49-2F3CFB80DE15}">
      <text>
        <r>
          <rPr>
            <sz val="9"/>
            <color indexed="81"/>
            <rFont val="Tahoma"/>
            <family val="2"/>
          </rPr>
          <t>Remember to subtract Baseline pressure</t>
        </r>
      </text>
    </comment>
    <comment ref="AC78" authorId="1" shapeId="0" xr:uid="{125D2539-C1CE-4B96-A3E8-CF001335B04A}">
      <text>
        <r>
          <rPr>
            <sz val="9"/>
            <color indexed="81"/>
            <rFont val="Tahoma"/>
            <family val="2"/>
          </rPr>
          <t>limit = 200 ppm air free</t>
        </r>
      </text>
    </comment>
    <comment ref="AC80" authorId="1" shapeId="0" xr:uid="{4792C5BA-FD12-4248-A6EF-8E1D86FE82E8}">
      <text>
        <r>
          <rPr>
            <sz val="9"/>
            <color indexed="81"/>
            <rFont val="Tahoma"/>
            <family val="2"/>
          </rPr>
          <t>limit = 400 ppm air free</t>
        </r>
      </text>
    </comment>
    <comment ref="AG82" authorId="1" shapeId="0" xr:uid="{CBAC7509-0661-4F53-AF87-177902563D15}">
      <text>
        <r>
          <rPr>
            <sz val="9"/>
            <color indexed="81"/>
            <rFont val="Tahoma"/>
            <family val="2"/>
          </rPr>
          <t>limit = 225 as measured</t>
        </r>
      </text>
    </comment>
    <comment ref="AA95" authorId="1" shapeId="0" xr:uid="{6C6168C5-CDDB-4778-8535-0D15628C8C3A}">
      <text>
        <r>
          <rPr>
            <sz val="9"/>
            <color indexed="81"/>
            <rFont val="Tahoma"/>
            <family val="2"/>
          </rPr>
          <t>Select one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Marner, Scott A.</author>
  </authors>
  <commentList>
    <comment ref="L52" authorId="0" shapeId="0" xr:uid="{78CE61B2-6D8F-4BFE-A9A3-5EC4EF402C1C}">
      <text>
        <r>
          <rPr>
            <b/>
            <sz val="9"/>
            <color indexed="81"/>
            <rFont val="Tahoma"/>
            <family val="2"/>
          </rPr>
          <t>Acceptable/Unaccpetable</t>
        </r>
        <r>
          <rPr>
            <sz val="9"/>
            <color indexed="81"/>
            <rFont val="Tahoma"/>
            <family val="2"/>
          </rPr>
          <t xml:space="preserve">
</t>
        </r>
      </text>
    </comment>
    <comment ref="R52" authorId="0" shapeId="0" xr:uid="{7978874D-A388-4E6B-BE7C-86B2D0A5CA99}">
      <text>
        <r>
          <rPr>
            <b/>
            <sz val="9"/>
            <color indexed="81"/>
            <rFont val="Tahoma"/>
            <family val="2"/>
          </rPr>
          <t>Acceptable/Unaccpetable</t>
        </r>
        <r>
          <rPr>
            <sz val="9"/>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tc={AE425D88-321C-46D6-9011-0C02205B9037}</author>
    <author>tc={4A0BC28A-C06F-4D4D-A877-EDA306D5C646}</author>
  </authors>
  <commentList>
    <comment ref="G11" authorId="0" shapeId="0" xr:uid="{AE425D88-321C-46D6-9011-0C02205B9037}">
      <text>
        <t>[Threaded comment]
Your version of Excel allows you to read this threaded comment; however, any edits to it will get removed if the file is opened in a newer version of Excel. Learn more: https://go.microsoft.com/fwlink/?linkid=870924
Comment:
    EIA data from Nov 2021 to March 2022 for Illinois was an average of $2.28 (https://www.eia.gov/dnav/pet/PET_PRI_WFR_DCUS_SIL_W.htm)</t>
      </text>
    </comment>
    <comment ref="G12" authorId="1" shapeId="0" xr:uid="{4A0BC28A-C06F-4D4D-A877-EDA306D5C646}">
      <text>
        <t>[Threaded comment]
Your version of Excel allows you to read this threaded comment; however, any edits to it will get removed if the file is opened in a newer version of Excel. Learn more: https://go.microsoft.com/fwlink/?linkid=870924
Comment:
    Annual Energy Outlook 2022, Table 3. Energy Prices by Sector and Source, Reference Case, East North Central, Residential, 2022 Nominal $/MMBtu ($17.297)</t>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tc={F75C1B76-4C2B-4A98-B463-A037BE933AC6}</author>
    <author>tc={E3742521-E31E-4783-B66B-74294A29420C}</author>
    <author>tc={A4E35F27-6341-43BA-9C30-7C131E89A766}</author>
    <author>tc={96907EFF-3DCE-4C17-864E-77D50D43F89A}</author>
    <author>tc={DABB7A12-77BB-451D-90A8-25D2AA14AA60}</author>
    <author>tc={D4D7E163-B05E-4D13-B7F5-BCA56B978470}</author>
    <author>tc={C3A056AA-5512-49D8-8D23-F0FF01152477}</author>
    <author>tc={3C7A0DEE-BB4B-4614-8698-0ED92A295F54}</author>
    <author>tc={DA3F0361-DDEF-45DC-A9C0-4EE97DE6F06E}</author>
    <author>tc={37596C30-293C-4FBF-A917-16657DABB965}</author>
    <author>tc={CC3A3AC4-2B1F-40F9-8578-FB3B8B9CB22C}</author>
    <author>tc={B1BBC839-60E7-4625-9348-ED874C3B777C}</author>
    <author>tc={2C08EBAB-AD80-4AFC-8764-4AC28B2A86D0}</author>
    <author>tc={929D1F0F-1B2A-4988-93EB-9C9A3E3D3540}</author>
    <author>tc={3A175AC6-8B9D-44CC-88D7-C5B7AABD684A}</author>
    <author>tc={0F2E6E5A-E588-44FC-BA61-DB3DD397BCD3}</author>
    <author>tc={6A2ADA4B-D6CD-44BB-B6CE-E6A02938DB27}</author>
    <author>tc={EFDF2FD2-E25C-48B7-A34D-C7154CEE6561}</author>
    <author>tc={D67C0939-CABE-4A05-A8EE-943220F0B6B2}</author>
    <author>tc={B8526AED-4E50-456A-874C-AC3F652A0F65}</author>
    <author>tc={7B7BC869-1E01-4DAA-BF11-010EAD747B3F}</author>
    <author>tc={DAA1139B-84F2-425B-94FB-903806720E07}</author>
    <author>tc={923F9738-1520-4E4E-AFDE-0AA8187FB9AC}</author>
    <author>tc={8929E872-3329-420E-AA16-BA8AACB0E16A}</author>
    <author>tc={EF2D5814-7A7E-4140-B2DA-DB94F1A44D5D}</author>
    <author>tc={14B12D10-9C89-4808-B817-14BAB774727C}</author>
    <author>tc={D1708768-0E30-445A-B41F-5D2FF4F9AC6F}</author>
    <author>tc={2C6C3D46-7CC9-4A5B-9F70-317B3EC7E5AC}</author>
    <author>tc={7246A085-9D53-48FE-BDAA-EBD3838EAC3D}</author>
    <author>tc={B7A867A8-B5E0-4BD6-B492-656331C267DD}</author>
    <author>tc={D9EE27E5-D06E-48E3-B5DA-E1992ED1107E}</author>
    <author>tc={D1B8429F-962A-467C-B886-063BC381659F}</author>
    <author>tc={CEC5B95D-2574-443F-8447-58403277BA4C}</author>
    <author>tc={821D0CA6-5049-4FEC-81EE-5638FED0D470}</author>
    <author>tc={3CE8AC87-ECAD-4B54-9BAC-FE3A513B731C}</author>
    <author>tc={E0A12723-2CDE-4F05-AB7B-B53601654796}</author>
    <author>tc={B0D98F43-2AAF-414E-AB9A-0977698F99DB}</author>
    <author>tc={38AEEF91-46AC-49FA-820B-F6C8E7EBCF82}</author>
    <author>tc={46A80016-5BDB-4CA1-B043-102CE86C78AA}</author>
    <author>tc={E916884F-5040-4A14-88B7-AAC5247C3BD5}</author>
    <author>tc={25A9CB5F-C25A-453A-A3ED-8E97512FB2D0}</author>
    <author>tc={AB21F52F-73B4-46EF-B0F7-AD6F5C190906}</author>
    <author>tc={552E379E-AF9F-4C67-8241-DAD643236FCF}</author>
    <author>tc={4715942A-8660-43F8-9B3C-2B8DFFF660F5}</author>
    <author>tc={91983669-CF21-419B-A094-72D299307974}</author>
    <author>tc={8609681C-202E-453A-8507-1965B5E863D7}</author>
    <author>tc={8C55C8BB-3339-45EF-A9F4-5F372CC08BFD}</author>
    <author>tc={D8F97126-4F63-492F-A209-3C9B9C98EEE1}</author>
    <author>tc={E6DAFE45-BBCE-4727-906A-32B2D46BBEF8}</author>
    <author>tc={FA1C6331-A7CB-413D-8753-7FB8CABB15FF}</author>
    <author>tc={7D1BB628-7593-47AC-8EFD-4CB4F5612EA6}</author>
    <author>tc={A3F008B8-FC7A-4998-83B5-CEC0C0C8A3E0}</author>
    <author>tc={21785FBC-382E-4DB0-9B0B-67932B774F37}</author>
    <author>tc={2D13AAE8-2759-4516-9CC9-9764985A6D40}</author>
    <author>tc={1F0D504A-1118-4FB2-BB87-1484A6DE387E}</author>
    <author>tc={6C5275B1-4DEB-4F11-BA93-9E1759A8ADBA}</author>
    <author>tc={9CD02833-B833-4C51-8EA9-3D5A85C40C17}</author>
    <author>tc={2D7E7569-BA7B-4675-9C9D-D032609C3DF1}</author>
    <author>tc={A301CF86-3363-4AF0-9169-707B0F727157}</author>
    <author>tc={FC4DA675-B2B9-488D-92C5-BD14C8ABB04B}</author>
    <author>tc={A2BF88A7-39DD-4702-B23F-6533EF6641C1}</author>
    <author>tc={0BF36A7D-570B-42AC-84A2-91C1F9906374}</author>
    <author>tc={3FE3C84F-C5A0-40AD-9803-9AD45FDBA2A4}</author>
    <author>tc={2EC2A5E5-FC0E-4490-8290-5697311314E2}</author>
    <author>tc={BA1616B0-8FD5-4680-A678-D9379072E100}</author>
    <author>tc={4DE137E1-8F3B-48C6-B4EB-9C58AAE73378}</author>
    <author>tc={2CD45DC7-2EF2-4FB0-B506-4C041000D7A6}</author>
    <author>tc={691310D0-01B4-4CDC-8270-F998B77977C4}</author>
    <author>tc={A3760FB7-13B1-4674-8532-C1DD22B2036B}</author>
    <author>tc={8084FEDF-2715-4670-A3DD-167FCC333438}</author>
    <author>tc={A827B1BB-5BD1-4663-8BEC-1C074241E73B}</author>
    <author>tc={3CF4FFB5-E36B-4A0D-B3EA-7878DB760009}</author>
  </authors>
  <commentList>
    <comment ref="F119" authorId="0" shapeId="0" xr:uid="{F75C1B76-4C2B-4A98-B463-A037BE933AC6}">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204" authorId="1" shapeId="0" xr:uid="{E3742521-E31E-4783-B66B-74294A29420C}">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208" authorId="2" shapeId="0" xr:uid="{A4E35F27-6341-43BA-9C30-7C131E89A766}">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G236" authorId="3" shapeId="0" xr:uid="{96907EFF-3DCE-4C17-864E-77D50D43F89A}">
      <text>
        <t>[Threaded comment]
Your version of Excel allows you to read this threaded comment; however, any edits to it will get removed if the file is opened in a newer version of Excel. Learn more: https://go.microsoft.com/fwlink/?linkid=870924
Comment:
    IL TRM v11, Residential Heat Pump DHW Winter Peak and Winter Off-Peak Loadshapes.</t>
      </text>
    </comment>
    <comment ref="G237" authorId="4" shapeId="0" xr:uid="{DABB7A12-77BB-451D-90A8-25D2AA14AA60}">
      <text>
        <t>[Threaded comment]
Your version of Excel allows you to read this threaded comment; however, any edits to it will get removed if the file is opened in a newer version of Excel. Learn more: https://go.microsoft.com/fwlink/?linkid=870924
Comment:
    IL TRM v11, Residential Heat Pump DHW Summer Peak and Winter Off-Peak Loadshapes.</t>
      </text>
    </comment>
    <comment ref="F251" authorId="5" shapeId="0" xr:uid="{D4D7E163-B05E-4D13-B7F5-BCA56B978470}">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262" authorId="6" shapeId="0" xr:uid="{C3A056AA-5512-49D8-8D23-F0FF01152477}">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324" authorId="7" shapeId="0" xr:uid="{3C7A0DEE-BB4B-4614-8698-0ED92A295F54}">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331" authorId="8" shapeId="0" xr:uid="{DA3F0361-DDEF-45DC-A9C0-4EE97DE6F06E}">
      <text>
        <t>[Threaded comment]
Your version of Excel allows you to read this threaded comment; however, any edits to it will get removed if the file is opened in a newer version of Excel. Learn more: https://go.microsoft.com/fwlink/?linkid=870924
Comment:
    Updated IL TRM v12</t>
      </text>
    </comment>
    <comment ref="F332" authorId="9" shapeId="0" xr:uid="{37596C30-293C-4FBF-A917-16657DABB965}">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341" authorId="10" shapeId="0" xr:uid="{CC3A3AC4-2B1F-40F9-8578-FB3B8B9CB22C}">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351" authorId="11" shapeId="0" xr:uid="{B1BBC839-60E7-4625-9348-ED874C3B777C}">
      <text>
        <t>[Threaded comment]
Your version of Excel allows you to read this threaded comment; however, any edits to it will get removed if the file is opened in a newer version of Excel. Learn more: https://go.microsoft.com/fwlink/?linkid=870924
Comment:
    Updated IL TRM v12</t>
      </text>
    </comment>
    <comment ref="F352" authorId="12" shapeId="0" xr:uid="{2C08EBAB-AD80-4AFC-8764-4AC28B2A86D0}">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355" authorId="13" shapeId="0" xr:uid="{929D1F0F-1B2A-4988-93EB-9C9A3E3D3540}">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364" authorId="14" shapeId="0" xr:uid="{3A175AC6-8B9D-44CC-88D7-C5B7AABD684A}">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370" authorId="15" shapeId="0" xr:uid="{0F2E6E5A-E588-44FC-BA61-DB3DD397BCD3}">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394" authorId="16" shapeId="0" xr:uid="{6A2ADA4B-D6CD-44BB-B6CE-E6A02938DB27}">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399" authorId="17" shapeId="0" xr:uid="{EFDF2FD2-E25C-48B7-A34D-C7154CEE6561}">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409" authorId="18" shapeId="0" xr:uid="{D67C0939-CABE-4A05-A8EE-943220F0B6B2}">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413" authorId="19" shapeId="0" xr:uid="{B8526AED-4E50-456A-874C-AC3F652A0F65}">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419" authorId="20" shapeId="0" xr:uid="{7B7BC869-1E01-4DAA-BF11-010EAD747B3F}">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423" authorId="21" shapeId="0" xr:uid="{DAA1139B-84F2-425B-94FB-903806720E07}">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432" authorId="22" shapeId="0" xr:uid="{923F9738-1520-4E4E-AFDE-0AA8187FB9AC}">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436" authorId="23" shapeId="0" xr:uid="{8929E872-3329-420E-AA16-BA8AACB0E16A}">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448" authorId="24" shapeId="0" xr:uid="{EF2D5814-7A7E-4140-B2DA-DB94F1A44D5D}">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462" authorId="25" shapeId="0" xr:uid="{14B12D10-9C89-4808-B817-14BAB774727C}">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467" authorId="26" shapeId="0" xr:uid="{D1708768-0E30-445A-B41F-5D2FF4F9AC6F}">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477" authorId="27" shapeId="0" xr:uid="{2C6C3D46-7CC9-4A5B-9F70-317B3EC7E5AC}">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481" authorId="28" shapeId="0" xr:uid="{7246A085-9D53-48FE-BDAA-EBD3838EAC3D}">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487" authorId="29" shapeId="0" xr:uid="{B7A867A8-B5E0-4BD6-B492-656331C267DD}">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491" authorId="30" shapeId="0" xr:uid="{D9EE27E5-D06E-48E3-B5DA-E1992ED1107E}">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500" authorId="31" shapeId="0" xr:uid="{D1B8429F-962A-467C-B886-063BC381659F}">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504" authorId="32" shapeId="0" xr:uid="{CEC5B95D-2574-443F-8447-58403277BA4C}">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516" authorId="33" shapeId="0" xr:uid="{821D0CA6-5049-4FEC-81EE-5638FED0D470}">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530" authorId="34" shapeId="0" xr:uid="{3CE8AC87-ECAD-4B54-9BAC-FE3A513B731C}">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535" authorId="35" shapeId="0" xr:uid="{E0A12723-2CDE-4F05-AB7B-B53601654796}">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544" authorId="36" shapeId="0" xr:uid="{B0D98F43-2AAF-414E-AB9A-0977698F99DB}">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548" authorId="37" shapeId="0" xr:uid="{38AEEF91-46AC-49FA-820B-F6C8E7EBCF82}">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558" authorId="38" shapeId="0" xr:uid="{46A80016-5BDB-4CA1-B043-102CE86C78AA}">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567" authorId="39" shapeId="0" xr:uid="{E916884F-5040-4A14-88B7-AAC5247C3BD5}">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571" authorId="40" shapeId="0" xr:uid="{25A9CB5F-C25A-453A-A3ED-8E97512FB2D0}">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582" authorId="41" shapeId="0" xr:uid="{AB21F52F-73B4-46EF-B0F7-AD6F5C190906}">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596" authorId="42" shapeId="0" xr:uid="{552E379E-AF9F-4C67-8241-DAD643236FCF}">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601" authorId="43" shapeId="0" xr:uid="{4715942A-8660-43F8-9B3C-2B8DFFF660F5}">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610" authorId="44" shapeId="0" xr:uid="{91983669-CF21-419B-A094-72D299307974}">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614" authorId="45" shapeId="0" xr:uid="{8609681C-202E-453A-8507-1965B5E863D7}">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624" authorId="46" shapeId="0" xr:uid="{8C55C8BB-3339-45EF-A9F4-5F372CC08BFD}">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633" authorId="47" shapeId="0" xr:uid="{D8F97126-4F63-492F-A209-3C9B9C98EEE1}">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637" authorId="48" shapeId="0" xr:uid="{E6DAFE45-BBCE-4727-906A-32B2D46BBEF8}">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648" authorId="49" shapeId="0" xr:uid="{FA1C6331-A7CB-413D-8753-7FB8CABB15FF}">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662" authorId="50" shapeId="0" xr:uid="{7D1BB628-7593-47AC-8EFD-4CB4F5612EA6}">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665" authorId="51" shapeId="0" xr:uid="{A3F008B8-FC7A-4998-83B5-CEC0C0C8A3E0}">
      <text>
        <t>[Threaded comment]
Your version of Excel allows you to read this threaded comment; however, any edits to it will get removed if the file is opened in a newer version of Excel. Learn more: https://go.microsoft.com/fwlink/?linkid=870924
Comment:
    Updated IL TRM v12</t>
      </text>
    </comment>
    <comment ref="F667" authorId="52" shapeId="0" xr:uid="{21785FBC-382E-4DB0-9B0B-67932B774F37}">
      <text>
        <t>[Threaded comment]
Your version of Excel allows you to read this threaded comment; however, any edits to it will get removed if the file is opened in a newer version of Excel. Learn more: https://go.microsoft.com/fwlink/?linkid=870924
Comment:
    Updated IL TRM v12</t>
      </text>
    </comment>
    <comment ref="F676" authorId="53" shapeId="0" xr:uid="{2D13AAE8-2759-4516-9CC9-9764985A6D40}">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680" authorId="54" shapeId="0" xr:uid="{1F0D504A-1118-4FB2-BB87-1484A6DE387E}">
      <text>
        <t>[Threaded comment]
Your version of Excel allows you to read this threaded comment; however, any edits to it will get removed if the file is opened in a newer version of Excel. Learn more: https://go.microsoft.com/fwlink/?linkid=870924
Comment:
    Updated IL v12</t>
      </text>
    </comment>
    <comment ref="F690" authorId="55" shapeId="0" xr:uid="{6C5275B1-4DEB-4F11-BA93-9E1759A8ADBA}">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699" authorId="56" shapeId="0" xr:uid="{9CD02833-B833-4C51-8EA9-3D5A85C40C17}">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714" authorId="57" shapeId="0" xr:uid="{2D7E7569-BA7B-4675-9C9D-D032609C3DF1}">
      <text>
        <t>[Threaded comment]
Your version of Excel allows you to read this threaded comment; however, any edits to it will get removed if the file is opened in a newer version of Excel. Learn more: https://go.microsoft.com/fwlink/?linkid=870924
Comment:
    Updated IL TRM v12</t>
      </text>
    </comment>
    <comment ref="F727" authorId="58" shapeId="0" xr:uid="{A301CF86-3363-4AF0-9169-707B0F727157}">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730" authorId="59" shapeId="0" xr:uid="{FC4DA675-B2B9-488D-92C5-BD14C8ABB04B}">
      <text>
        <t>[Threaded comment]
Your version of Excel allows you to read this threaded comment; however, any edits to it will get removed if the file is opened in a newer version of Excel. Learn more: https://go.microsoft.com/fwlink/?linkid=870924
Comment:
    Updated IL TRM v12</t>
      </text>
    </comment>
    <comment ref="F741" authorId="60" shapeId="0" xr:uid="{A2BF88A7-39DD-4702-B23F-6533EF6641C1}">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743" authorId="61" shapeId="0" xr:uid="{0BF36A7D-570B-42AC-84A2-91C1F9906374}">
      <text>
        <t>[Threaded comment]
Your version of Excel allows you to read this threaded comment; however, any edits to it will get removed if the file is opened in a newer version of Excel. Learn more: https://go.microsoft.com/fwlink/?linkid=870924
Comment:
    Updated IL TRM v12</t>
      </text>
    </comment>
    <comment ref="F756" authorId="62" shapeId="0" xr:uid="{3FE3C84F-C5A0-40AD-9803-9AD45FDBA2A4}">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764" authorId="63" shapeId="0" xr:uid="{2EC2A5E5-FC0E-4490-8290-5697311314E2}">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780" authorId="64" shapeId="0" xr:uid="{BA1616B0-8FD5-4680-A678-D9379072E100}">
      <text>
        <t>[Threaded comment]
Your version of Excel allows you to read this threaded comment; however, any edits to it will get removed if the file is opened in a newer version of Excel. Learn more: https://go.microsoft.com/fwlink/?linkid=870924
Comment:
    Updated IL TRM v12</t>
      </text>
    </comment>
    <comment ref="F796" authorId="65" shapeId="0" xr:uid="{4DE137E1-8F3B-48C6-B4EB-9C58AAE73378}">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801" authorId="66" shapeId="0" xr:uid="{2CD45DC7-2EF2-4FB0-B506-4C041000D7A6}">
      <text>
        <t>[Threaded comment]
Your version of Excel allows you to read this threaded comment; however, any edits to it will get removed if the file is opened in a newer version of Excel. Learn more: https://go.microsoft.com/fwlink/?linkid=870924
Comment:
    Updated IL TRM v12</t>
      </text>
    </comment>
    <comment ref="F819" authorId="67" shapeId="0" xr:uid="{691310D0-01B4-4CDC-8270-F998B77977C4}">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833" authorId="68" shapeId="0" xr:uid="{A3760FB7-13B1-4674-8532-C1DD22B2036B}">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851" authorId="69" shapeId="0" xr:uid="{8084FEDF-2715-4670-A3DD-167FCC333438}">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855" authorId="70" shapeId="0" xr:uid="{A827B1BB-5BD1-4663-8BEC-1C074241E73B}">
      <text>
        <t>[Threaded comment]
Your version of Excel allows you to read this threaded comment; however, any edits to it will get removed if the file is opened in a newer version of Excel. Learn more: https://go.microsoft.com/fwlink/?linkid=870924
Comment:
    Updated IL TRM v12</t>
      </text>
    </comment>
    <comment ref="F866" authorId="71" shapeId="0" xr:uid="{3CF4FFB5-E36B-4A0D-B3EA-7878DB760009}">
      <text>
        <t>[Threaded comment]
Your version of Excel allows you to read this threaded comment; however, any edits to it will get removed if the file is opened in a newer version of Excel. Learn more: https://go.microsoft.com/fwlink/?linkid=870924
Comment:
    Updated IL TRM v12</t>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tc={865301CD-0A95-4A36-8196-80C5FF92E5C2}</author>
    <author>tc={21EC71A6-B9DD-4C11-8702-FDF6E82F7648}</author>
    <author>tc={575A0B68-B235-4A87-9D59-6F6331A84E2D}</author>
    <author>tc={B0A3DDF5-0279-4091-997C-6DA16D04A33D}</author>
    <author>tc={E7B5905B-65D8-433D-AFBD-3C242F634468}</author>
    <author>tc={BFC91ABD-329B-47F8-9B13-500D13DB5FFF}</author>
  </authors>
  <commentList>
    <comment ref="C15" authorId="0" shapeId="0" xr:uid="{865301CD-0A95-4A36-8196-80C5FF92E5C2}">
      <text>
        <t>[Threaded comment]
Your version of Excel allows you to read this threaded comment; however, any edits to it will get removed if the file is opened in a newer version of Excel. Learn more: https://go.microsoft.com/fwlink/?linkid=870924
Comment:
    https://www.eia.gov/energyexplained/units-and-calculators/british-thermal-units.php</t>
      </text>
    </comment>
    <comment ref="D15" authorId="1" shapeId="0" xr:uid="{21EC71A6-B9DD-4C11-8702-FDF6E82F7648}">
      <text>
        <t>[Threaded comment]
Your version of Excel allows you to read this threaded comment; however, any edits to it will get removed if the file is opened in a newer version of Excel. Learn more: https://go.microsoft.com/fwlink/?linkid=870924
Comment:
    https://www.eia.gov/environment/emissions/co2_vol_mass.php</t>
      </text>
    </comment>
    <comment ref="D16" authorId="2" shapeId="0" xr:uid="{575A0B68-B235-4A87-9D59-6F6331A84E2D}">
      <text>
        <t>[Threaded comment]
Your version of Excel allows you to read this threaded comment; however, any edits to it will get removed if the file is opened in a newer version of Excel. Learn more: https://go.microsoft.com/fwlink/?linkid=870924
Comment:
    https://www.eia.gov/environment/emissions/co2_vol_mass.php</t>
      </text>
    </comment>
    <comment ref="C17" authorId="3" shapeId="0" xr:uid="{B0A3DDF5-0279-4091-997C-6DA16D04A33D}">
      <text>
        <t>[Threaded comment]
Your version of Excel allows you to read this threaded comment; however, any edits to it will get removed if the file is opened in a newer version of Excel. Learn more: https://go.microsoft.com/fwlink/?linkid=870924
Comment:
    https://www.eia.gov/energyexplained/units-and-calculators/british-thermal-units.php</t>
      </text>
    </comment>
    <comment ref="D17" authorId="4" shapeId="0" xr:uid="{E7B5905B-65D8-433D-AFBD-3C242F634468}">
      <text>
        <t>[Threaded comment]
Your version of Excel allows you to read this threaded comment; however, any edits to it will get removed if the file is opened in a newer version of Excel. Learn more: https://go.microsoft.com/fwlink/?linkid=870924
Comment:
    https://www.eia.gov/environment/emissions/co2_vol_mass.php</t>
      </text>
    </comment>
    <comment ref="D18" authorId="5" shapeId="0" xr:uid="{BFC91ABD-329B-47F8-9B13-500D13DB5FFF}">
      <text>
        <t>[Threaded comment]
Your version of Excel allows you to read this threaded comment; however, any edits to it will get removed if the file is opened in a newer version of Excel. Learn more: https://go.microsoft.com/fwlink/?linkid=870924
Comment:
    AIC Emissions Factor Forecast, 2022.</t>
      </text>
    </comment>
  </commentList>
</comments>
</file>

<file path=xl/sharedStrings.xml><?xml version="1.0" encoding="utf-8"?>
<sst xmlns="http://schemas.openxmlformats.org/spreadsheetml/2006/main" count="8003" uniqueCount="1506">
  <si>
    <t>SECTION 1: PROJECT INFORMATION</t>
  </si>
  <si>
    <t>IL</t>
  </si>
  <si>
    <t>Electric Account</t>
  </si>
  <si>
    <t>Gas  Account</t>
  </si>
  <si>
    <t>Heating Equipment</t>
  </si>
  <si>
    <t>Cooling Equipment</t>
  </si>
  <si>
    <t>CAC</t>
  </si>
  <si>
    <t>ASHP</t>
  </si>
  <si>
    <t>None</t>
  </si>
  <si>
    <t>Natural Gas Furnace</t>
  </si>
  <si>
    <t>Natural Gas Boiler</t>
  </si>
  <si>
    <t>Electric Resistance</t>
  </si>
  <si>
    <t>Blown cellulose</t>
  </si>
  <si>
    <t>Blown fiberglass</t>
  </si>
  <si>
    <t>Fiberglass batt</t>
  </si>
  <si>
    <t>Foam Board</t>
  </si>
  <si>
    <t>Spray Foam</t>
  </si>
  <si>
    <t>Mixed types</t>
  </si>
  <si>
    <t>Mineral Wool</t>
  </si>
  <si>
    <t>Other</t>
  </si>
  <si>
    <t>Good</t>
  </si>
  <si>
    <t>Fair</t>
  </si>
  <si>
    <t>Poor</t>
  </si>
  <si>
    <t>Very Poor</t>
  </si>
  <si>
    <t>Manual</t>
  </si>
  <si>
    <t>Programmable</t>
  </si>
  <si>
    <t>Smart</t>
  </si>
  <si>
    <t>Window Air Conditioner</t>
  </si>
  <si>
    <t>Propane</t>
  </si>
  <si>
    <t>Geothermal Heat Pump</t>
  </si>
  <si>
    <t>Electric</t>
  </si>
  <si>
    <t>Natural Gas</t>
  </si>
  <si>
    <t>N/A</t>
  </si>
  <si>
    <t>Natural Draft</t>
  </si>
  <si>
    <t>Natural Draft w/Flue Liner</t>
  </si>
  <si>
    <t>Power Vent</t>
  </si>
  <si>
    <t>SECTION 2: PROGRAM ALLY INFORMATION</t>
  </si>
  <si>
    <t>Air Sealing</t>
  </si>
  <si>
    <t>Kneewall Insulation</t>
  </si>
  <si>
    <t>Rim Joist Insulation</t>
  </si>
  <si>
    <t>Wall Insulation</t>
  </si>
  <si>
    <t>Smart Thermostat</t>
  </si>
  <si>
    <t>Air Source Heat Pump</t>
  </si>
  <si>
    <t>Room Air Conditioner</t>
  </si>
  <si>
    <t>Heat Pump Water Heater</t>
  </si>
  <si>
    <t>High Efficiency Blower Motor</t>
  </si>
  <si>
    <t>Attic Insulation</t>
  </si>
  <si>
    <t>Measure</t>
  </si>
  <si>
    <t>Smart Thermostat
[Energy Star Certified]</t>
  </si>
  <si>
    <t>ASHRAE Exhaust Fan
[Energy Star Certified]</t>
  </si>
  <si>
    <t>Health and Safety</t>
  </si>
  <si>
    <t>Total Ameren Illinois Incentive</t>
  </si>
  <si>
    <t>Sales Price</t>
  </si>
  <si>
    <t>Exhaust Fan</t>
  </si>
  <si>
    <t>PY2024 Home Efficiency Workbook</t>
  </si>
  <si>
    <t>ResidentialEEApplications@ameren.com</t>
  </si>
  <si>
    <t>PP Max</t>
  </si>
  <si>
    <t>E</t>
  </si>
  <si>
    <t>G</t>
  </si>
  <si>
    <t>Heating System 1</t>
  </si>
  <si>
    <t>yes</t>
  </si>
  <si>
    <t>no</t>
  </si>
  <si>
    <t>Attic Insulation R11-R49</t>
  </si>
  <si>
    <t>Attic Insulation R19-R49</t>
  </si>
  <si>
    <t>Heating System 2</t>
  </si>
  <si>
    <t>Crawl Space Wall Insulation &gt; 2'</t>
  </si>
  <si>
    <t>Exhaust Fan w/out Light</t>
  </si>
  <si>
    <t>Exhaust Fan w/Light</t>
  </si>
  <si>
    <t>Cooling System 1</t>
  </si>
  <si>
    <t>Duct Sealing</t>
  </si>
  <si>
    <t>Furnace</t>
  </si>
  <si>
    <t>check size</t>
  </si>
  <si>
    <t>Boiler</t>
  </si>
  <si>
    <t>Cooling System 2</t>
  </si>
  <si>
    <t>Air Source Heat Pump SEER 16.0 and HSPF 9.0 or greater (System 2)</t>
  </si>
  <si>
    <t>Blower Motor - New</t>
  </si>
  <si>
    <t>Window AC</t>
  </si>
  <si>
    <t>Attic Insulation - R11 or Less to R49 or greater</t>
  </si>
  <si>
    <t>Additional Costs</t>
  </si>
  <si>
    <t>Attic Insulation - R19 or Less to R49 or greater</t>
  </si>
  <si>
    <t>Emergency  Furnace</t>
  </si>
  <si>
    <t>Power Vented Water Heater</t>
  </si>
  <si>
    <t>Electrification HVAC Equipment</t>
  </si>
  <si>
    <t>Air Source Heat Pump SEER 16.0 and HSPF 9.0 or greater</t>
  </si>
  <si>
    <t>City</t>
  </si>
  <si>
    <t>Zip Code</t>
  </si>
  <si>
    <t>Email Address</t>
  </si>
  <si>
    <t>Basement</t>
  </si>
  <si>
    <t>Crawlspace</t>
  </si>
  <si>
    <t>Slab</t>
  </si>
  <si>
    <t>Crawlspace &amp; Slab</t>
  </si>
  <si>
    <t>Basement &amp; Slab</t>
  </si>
  <si>
    <t>Basement &amp; Crawlspace</t>
  </si>
  <si>
    <t>Basement &amp; Crawlspace &amp; Slab</t>
  </si>
  <si>
    <t xml:space="preserve">Building Envelope </t>
  </si>
  <si>
    <t>HVAC</t>
  </si>
  <si>
    <t>Building Envelope and HVAC</t>
  </si>
  <si>
    <t>Contact Name</t>
  </si>
  <si>
    <t>System Type</t>
  </si>
  <si>
    <t>Cooling Capacity (Btuh)</t>
  </si>
  <si>
    <t>Manufacturer</t>
  </si>
  <si>
    <t>Model</t>
  </si>
  <si>
    <t>Year of Manufacture</t>
  </si>
  <si>
    <t>Rated Efficiency</t>
  </si>
  <si>
    <t>Derated Efficiency</t>
  </si>
  <si>
    <t>Rated SEER</t>
  </si>
  <si>
    <t>Fuel</t>
  </si>
  <si>
    <t>Venting Type</t>
  </si>
  <si>
    <t>ALLY</t>
  </si>
  <si>
    <t>MEASURE</t>
  </si>
  <si>
    <t>AVAILABLE INCENTIVE</t>
  </si>
  <si>
    <t>QUANTITY</t>
  </si>
  <si>
    <t>ALLY COST</t>
  </si>
  <si>
    <t>A</t>
  </si>
  <si>
    <t>B</t>
  </si>
  <si>
    <t>per CFM50</t>
  </si>
  <si>
    <t>Material Type</t>
  </si>
  <si>
    <t>Caulk</t>
  </si>
  <si>
    <t>Joint Compound</t>
  </si>
  <si>
    <t>One Part Foam</t>
  </si>
  <si>
    <t>Weatherstripping</t>
  </si>
  <si>
    <t>per SF</t>
  </si>
  <si>
    <t>Attic Insulation
[R11 or Less to R49 or Greater]</t>
  </si>
  <si>
    <t>Existing Type</t>
  </si>
  <si>
    <t>Depth</t>
  </si>
  <si>
    <t>Condition</t>
  </si>
  <si>
    <t>SF</t>
  </si>
  <si>
    <t>Final
R-value</t>
  </si>
  <si>
    <t>Installed Type</t>
  </si>
  <si>
    <t>Percentage of Wall at Existing R-Value</t>
  </si>
  <si>
    <t>0%</t>
  </si>
  <si>
    <t>Metal</t>
  </si>
  <si>
    <t>Flex</t>
  </si>
  <si>
    <t>Metal &amp; Flex</t>
  </si>
  <si>
    <t>Fiber Board</t>
  </si>
  <si>
    <t>% Ductwork in Unconditioned Space</t>
  </si>
  <si>
    <t>Duct Sealing
[Results per BPI Lookup Table]</t>
  </si>
  <si>
    <t>per home</t>
  </si>
  <si>
    <t>Duct Sealing Material Type</t>
  </si>
  <si>
    <t>Mastic</t>
  </si>
  <si>
    <t>Tape</t>
  </si>
  <si>
    <t>Distribution Efficiency Before</t>
  </si>
  <si>
    <t>&lt; 25%</t>
  </si>
  <si>
    <t>&lt; 50%</t>
  </si>
  <si>
    <t>&gt; 50%</t>
  </si>
  <si>
    <t>&gt; 75%</t>
  </si>
  <si>
    <t>Distribution Efficiency After</t>
  </si>
  <si>
    <t>per unit</t>
  </si>
  <si>
    <t>Model #</t>
  </si>
  <si>
    <t>Capacity</t>
  </si>
  <si>
    <t>Natural Gas Tank</t>
  </si>
  <si>
    <t>Natural Gas On Demand</t>
  </si>
  <si>
    <t>Electric Tank</t>
  </si>
  <si>
    <t>Room Air Conditioner
[Energy Star Certified]</t>
  </si>
  <si>
    <t>CEER Rating</t>
  </si>
  <si>
    <t>Natural Gas Furnace 95% AFUE</t>
  </si>
  <si>
    <t>Natural Gas Boiler 90% AFUE</t>
  </si>
  <si>
    <t>Emergency Furnace 95% AFUE</t>
  </si>
  <si>
    <t>AHRI #</t>
  </si>
  <si>
    <t>AFUE</t>
  </si>
  <si>
    <t>Input BTUH</t>
  </si>
  <si>
    <t>Includes ECM</t>
  </si>
  <si>
    <t>Central AC SEER 16.0 and EER 12.5 or greater</t>
  </si>
  <si>
    <t>SEER2</t>
  </si>
  <si>
    <t>EER2</t>
  </si>
  <si>
    <t>HSPF2</t>
  </si>
  <si>
    <t>Heating Capacity (Btuh) @ 17 F</t>
  </si>
  <si>
    <t>Heating Capacity (Btuh) @ 47 F</t>
  </si>
  <si>
    <t>Conditioned Floor Area (SF)</t>
  </si>
  <si>
    <t>Year Home Built</t>
  </si>
  <si>
    <t>Foundation Type</t>
  </si>
  <si>
    <t>Pre-test CFM50</t>
  </si>
  <si>
    <t>Post-test CFM50</t>
  </si>
  <si>
    <t>When submitting the Reservation/Incentive Application and required documentation, please send all required documents to:</t>
  </si>
  <si>
    <t>DESCRIPTION</t>
  </si>
  <si>
    <t>Ally A Total Cost</t>
  </si>
  <si>
    <t>Ally A Total Incentive</t>
  </si>
  <si>
    <t>Project Bonus</t>
  </si>
  <si>
    <t>Customer Cost</t>
  </si>
  <si>
    <t>Ally B Total Cost</t>
  </si>
  <si>
    <t>Ally B Total Incentive</t>
  </si>
  <si>
    <t>Net Customer Cost</t>
  </si>
  <si>
    <t>Program Financing Requested</t>
  </si>
  <si>
    <t>Final Net Customer Out of Pocket Cost</t>
  </si>
  <si>
    <t>Building Envelope Measure Totals</t>
  </si>
  <si>
    <t>HVAC Measure Totals</t>
  </si>
  <si>
    <t xml:space="preserve">I, the undersigned, agree that the information above is representative of what has been discussed and proposed by the participating program ally (contractor).  I understand that Ameren Illinois program incentives and financing are subject to qualifications and not guaranteed. </t>
  </si>
  <si>
    <t>Customer Signature</t>
  </si>
  <si>
    <t>Date</t>
  </si>
  <si>
    <t>Program Ally Signature</t>
  </si>
  <si>
    <t>I certify the information I have provided is true and correct and any work performed meets the program guidelines and Terms and Conditions of the Program. I hereby request an incentive for the above listed work and understand the incentive cannot exceed 100% of project cost. I agree to allow Ameren Illinois Program staff to perform an on-site Quality Assurance inspection to confirm test results and verify the work performed.  Do not sign prior to project completion.</t>
  </si>
  <si>
    <t>Were any disclaimer form related items discovered?</t>
  </si>
  <si>
    <t>Was combustion safety testing required?</t>
  </si>
  <si>
    <t>Has ventilation requirements been discussed?</t>
  </si>
  <si>
    <r>
      <t xml:space="preserve">Indemnification and Waiver: </t>
    </r>
    <r>
      <rPr>
        <i/>
        <sz val="9"/>
        <color rgb="FF000000"/>
        <rFont val="Calibri"/>
        <family val="2"/>
      </rPr>
      <t>Customer agrees to release, indemnify, defend and hold harmless Ameren Illinois, the Prime Implementer (Leidos, Inc.), and their respective affiliates, subsidiaries, parent companies, officers, directors, agents, subcontractors, and employees (collectively the “Indemnities”), against all claims, losses, damages, expenses, fees, costs and liability of any nature whatsoever arising from any program, design, consulting, measures, product, system, equipment, appliance, or the installation thereof. Customer agrees that such obligations under this section shall survive any expiration or termination of this Agreement and shall not be limited to any remunerations herein of required insurance coverage. To the maximum extent permitted by law, the Customer agrees to limit Indemnities’ liability to the Customer for any reason to the total amount of payments identified in this Agreement. This limitation shall apply regardless of the cause of action or legal theory pled or asserted. Customer hereby expressly waives the right to specifically enforce this Agreement.</t>
    </r>
  </si>
  <si>
    <t>Address</t>
  </si>
  <si>
    <t>SECTION 1: BUILDING ENVELOPE MEASURES</t>
  </si>
  <si>
    <t>SECTION 2: HVAC MEASURES - must have sufficient BE measures to qualify</t>
  </si>
  <si>
    <t>SECTION 3: ADDITIONAL ENERGY EFFICIENCY COST</t>
  </si>
  <si>
    <t>If two or more units exist, please provide and separate model numbers, age, etc. with an *</t>
  </si>
  <si>
    <t>Please Describe Below Unique and/or Unusual Circumstances that Support Measure or Project Eligibility for Consideration</t>
  </si>
  <si>
    <t>SECTION 4: PROJECT NOTES</t>
  </si>
  <si>
    <t>Secondary Ally</t>
  </si>
  <si>
    <t>Primary Ally</t>
  </si>
  <si>
    <t>Type</t>
  </si>
  <si>
    <t>Age</t>
  </si>
  <si>
    <t>SEER</t>
  </si>
  <si>
    <t>Building Information</t>
  </si>
  <si>
    <t>Year Built</t>
  </si>
  <si>
    <t>Stories</t>
  </si>
  <si>
    <t>Foundation</t>
  </si>
  <si>
    <t>Water Heater Fuel</t>
  </si>
  <si>
    <t>Water Heater Venting</t>
  </si>
  <si>
    <t>Measures</t>
  </si>
  <si>
    <t>Total</t>
  </si>
  <si>
    <t>Role</t>
  </si>
  <si>
    <t>Cost</t>
  </si>
  <si>
    <t>Energy Star ID</t>
  </si>
  <si>
    <t>Crawl Space Wall Insulation</t>
  </si>
  <si>
    <t>Pre CFM50</t>
  </si>
  <si>
    <t>Post CFM50</t>
  </si>
  <si>
    <t>Pre R-value</t>
  </si>
  <si>
    <t>Post R-value</t>
  </si>
  <si>
    <t>Pre Eff</t>
  </si>
  <si>
    <t>Post Eff</t>
  </si>
  <si>
    <t>Room AC ER</t>
  </si>
  <si>
    <t>Authorized Measures</t>
  </si>
  <si>
    <t>Tier Level</t>
  </si>
  <si>
    <t>Tier</t>
  </si>
  <si>
    <t>Max PP</t>
  </si>
  <si>
    <t>Ameren Illinois</t>
  </si>
  <si>
    <r>
      <t xml:space="preserve"> "</t>
    </r>
    <r>
      <rPr>
        <b/>
        <u/>
        <sz val="11"/>
        <rFont val="Calibri"/>
        <family val="2"/>
        <scheme val="minor"/>
      </rPr>
      <t>Not to exceed</t>
    </r>
    <r>
      <rPr>
        <b/>
        <sz val="11"/>
        <rFont val="Calibri"/>
        <family val="2"/>
        <scheme val="minor"/>
      </rPr>
      <t>" prices. It is not required to charge the full amount if the work can be completed for less.  *Tier 3 does not have "Not to exceed" prices.</t>
    </r>
  </si>
  <si>
    <t>Price*</t>
  </si>
  <si>
    <t>TIER 1 Incentive</t>
  </si>
  <si>
    <t>TIER 2 Incentive</t>
  </si>
  <si>
    <t>TIER 3 Incentive</t>
  </si>
  <si>
    <t>Unit</t>
  </si>
  <si>
    <t>Specifications - Refer to the Available Residential Measures Guide &amp; Building Envelope Field Guide for complete specs.</t>
  </si>
  <si>
    <t>Incentivized Building Envelope Measures</t>
  </si>
  <si>
    <t>Air sealing, general</t>
  </si>
  <si>
    <t>Per CFM</t>
  </si>
  <si>
    <t>Perform air sealing as needed in any portion of the home to reduce air flow.  If the project includes blown attic insulation, then major bypasses in the attic must be air sealed.  The pressure boundary between an attached garage and the home must be air sealed. Air sealing may include but is not limited to attic top plates, chases, registers, vents, boots, plumbing stacks, wiring penetrations, attic accesses of any type, whole-house fans, drop soffits, can lights, bath fans, fireplaces, fireplace chases, balloon framing, windows, doors, and bath tubs.</t>
  </si>
  <si>
    <t>Attic Insulation - R11 or Less (Improved to R49 or greater)</t>
  </si>
  <si>
    <t>Includes blown cellulose or fiberglass insulation on flat or sloped surfaces of attics that meet program requirements for a financial incentive.  Includes installation of baffles and any needed blocking or dams including but not limited to areas around attic accesses of any type, porches, whole-house fans, metal flues, masonry chimneys, and other high-temperature penetrations.  Flat areas include areas above knee walls and areas behind knee walls.</t>
  </si>
  <si>
    <t>Includes either closed cell spray foam or rigid foam board cut and sealed using either one-part foam or caulk resulting in an R-value of R-12 or greater in open-faced vertical wall cavities, please refer to the Available Residential Measures guide for a complete list of allowable materials.</t>
  </si>
  <si>
    <t>Dense-pack wall insulation</t>
  </si>
  <si>
    <t>Includes cellulose or program approved fiberglass insulation, removal of vinyl siding, drilling holes through sheathing, plugging and caulking holes, and replacement of vinyl siding for a residence with 4" wall framing. Includes same materials for use in vertical knee walls and sloped knee walls with 4" framing.</t>
  </si>
  <si>
    <t>Rim joist insulation and air seal</t>
  </si>
  <si>
    <t>LF</t>
  </si>
  <si>
    <t>Includes either closed cell spray foam or rigid foam board cut and sealed using either one-part foam or caulk resulting in an R-value of R-10 or greater, please refer to the Available Residential Measures guide for a complete list of allowable materials.</t>
  </si>
  <si>
    <t>Crawl space wall insulation</t>
  </si>
  <si>
    <t>Installed according to manufacturers instructions with an R-value of R-10 or greater (Example:  Silvercote or equivalent), please refer to the Available Residential Measures guide for a complete list of allowable materials.</t>
  </si>
  <si>
    <t>Wall height less than 2'</t>
  </si>
  <si>
    <t>Wall height 2' or greater</t>
  </si>
  <si>
    <t>Additional Energy Efficiency Costs</t>
  </si>
  <si>
    <t>Additional Ductwork</t>
  </si>
  <si>
    <t>Per Room</t>
  </si>
  <si>
    <t>Example: Adding a duct run and drops (supply) to 2 new rooms to more evenly distribute conditioned air.</t>
  </si>
  <si>
    <t>Attic ventilation (per 1 SF net free area)</t>
  </si>
  <si>
    <t>Refer to the Building Envelope Field Guide. Section 4.1.6.1</t>
  </si>
  <si>
    <t>Audit Fee</t>
  </si>
  <si>
    <t>Each</t>
  </si>
  <si>
    <t>When a home audit is completed, but does not result in a workscope.</t>
  </si>
  <si>
    <t>BPI Combustion Safety Testing</t>
  </si>
  <si>
    <t>All diagnostic testing needed to comply with BPI 1200 Combustion Appliance Inspection and program guidelines including, but not limited to: test-in, test-out, and any intermediate testing required for a project. Both test-in and test out results must be documented by the program ally using the Energy Audit Diagnostic Test Form.</t>
  </si>
  <si>
    <t>BPI Infiltration and Ventilation Testing</t>
  </si>
  <si>
    <t>All diagnostic testing needed to comply with BPI 1200 Indoor Air Quality and Ventilation and ASHRAE standard 62.2-2016 and program guidelines including, but not limited to: test-in, test-out, and any intermediate blower door and ventilation testing required for a project with building envelope measures. Both test-in and test out results must be documented by the program ally using the Energy Audit Diagnostic Test Form.</t>
  </si>
  <si>
    <t>Cantilever insulate (floor over open outside conditions)</t>
  </si>
  <si>
    <r>
      <t xml:space="preserve">May include dense pack cellulose or program approved fiberglass insulation, spray foam, or rigid foam board. Includes deconstruction and reconstruction if necessary. Area can be incentivized under wall insulation, </t>
    </r>
    <r>
      <rPr>
        <b/>
        <sz val="11"/>
        <color theme="1"/>
        <rFont val="Calibri"/>
        <family val="2"/>
        <scheme val="minor"/>
      </rPr>
      <t>consult with your Field Energy Specialist.</t>
    </r>
  </si>
  <si>
    <t>Combustion Air Inlet</t>
  </si>
  <si>
    <t>Install to prevent or correct combustion safety failure by bringing outside air into the Combustion Appliance Zone, sized as per NFPA 54.</t>
  </si>
  <si>
    <t>Decommission whole-house attic fan</t>
  </si>
  <si>
    <t>Includes safe disconnection and termination of electrical wiring.  Prepares the opening to be air sealed and insulated.  Does not include mud, tape, or finishing.</t>
  </si>
  <si>
    <t>Ductless Air Source Heat Pump "Mini-Split"</t>
  </si>
  <si>
    <r>
      <t xml:space="preserve">Example: 2nd story or room addition where existing HVAC cannot be modified to properly condition living space that is currently under-conditioned. </t>
    </r>
    <r>
      <rPr>
        <b/>
        <sz val="11"/>
        <rFont val="Calibri"/>
        <family val="2"/>
        <scheme val="minor"/>
      </rPr>
      <t>Consult with your Field Energy Specialist for pricing approval.</t>
    </r>
  </si>
  <si>
    <t>Exhaust Fan, Moisture reduction</t>
  </si>
  <si>
    <t>Includes the installation of a new or inoperable exisitng exhaust fan in a bathroom with a shower and/or bathtub with the intent to remove excess moisture from the area.  Includes any necessary electric work.  Does not include drywall or plaster finishing and does not include venting. This measure requires building envelope work to be performed at the residence.</t>
  </si>
  <si>
    <t>Floor insulation dense-pack</t>
  </si>
  <si>
    <r>
      <t>Includes cellulose or fiberglass insulation dense pack under floor to complete the building envelope if the Attic Insulation measure is not possible.  Must separate conditioned space from unconditioned space. Pricing is subject to condition</t>
    </r>
    <r>
      <rPr>
        <b/>
        <sz val="11"/>
        <color theme="1"/>
        <rFont val="Calibri"/>
        <family val="2"/>
        <scheme val="minor"/>
      </rPr>
      <t>. Consult with your Field Energy Specialist for pricing approval.</t>
    </r>
  </si>
  <si>
    <t>Garage Ceiling Insulation</t>
  </si>
  <si>
    <r>
      <t xml:space="preserve">To ensure proper insulation and air barrier between garage and living space above. </t>
    </r>
    <r>
      <rPr>
        <b/>
        <sz val="11"/>
        <rFont val="Calibri"/>
        <family val="2"/>
        <scheme val="minor"/>
      </rPr>
      <t>Consult with your Field Energy Specialist for pricing approval.</t>
    </r>
  </si>
  <si>
    <t>Insulate &amp; Weather-strip vertical attic door</t>
  </si>
  <si>
    <t>Refer to the Building Envelope Field Guide. Section 4.1.5.2.1.</t>
  </si>
  <si>
    <t>Insulate attic pull down stairs</t>
  </si>
  <si>
    <t>Refer to the Building Envelope Field Guide. Section 4.1.5.1</t>
  </si>
  <si>
    <t>Insulate duct work in an unconditioned space</t>
  </si>
  <si>
    <t>For attics and vented crawl space areas (not garages).  Attain R-value of R-8 or greater.</t>
  </si>
  <si>
    <t>Interior Garage Door Replacement</t>
  </si>
  <si>
    <t>To ensure proper air barrier between an attached garage and adjacent living space (where door meets minimum requirements of International Residential Code (IRC)).</t>
  </si>
  <si>
    <t>Interior Wall Drill-and-blow Repair</t>
  </si>
  <si>
    <t>Per Hole</t>
  </si>
  <si>
    <t xml:space="preserve">To properly finish interior wall area where holes are drilled for wall insulation. </t>
  </si>
  <si>
    <t>Prep &amp; Finish Siding (Aluminum or Steel)</t>
  </si>
  <si>
    <r>
      <t xml:space="preserve">Additional Charge used to supplement the Dense-pack wall insulation measure. For drilling through aluminum or steel siding and sheathing as well as plugging and caulking hole. Does not include removal and re-installation of aluminum or steel siding.  When complete, plugs will be visible.  Does not include painting, finishing, or covering of plugs. This item will appear in additional work area of building envelope section with area to be treated. </t>
    </r>
    <r>
      <rPr>
        <i/>
        <sz val="11"/>
        <rFont val="Calibri"/>
        <family val="2"/>
        <scheme val="minor"/>
      </rPr>
      <t>example: Prep &amp; Finish Aluminum Siding (100 SF)</t>
    </r>
  </si>
  <si>
    <t>Prep &amp; Finish Siding (Asbestos or Asphalt)</t>
  </si>
  <si>
    <r>
      <t xml:space="preserve">Additional Charge used to supplement the Dense-pack wall insulation measure. For removal of asbestos or asphalt shingles or siding, drilling holes through sheathing, plugging and caulking holes, and replacement of asbestos or asphalt shingles or siding. Do not drill suspect asbestos siding. Refer to the Suspect ACM White Paper. This item will appear in additional work area of building envelope section with area to be treated. </t>
    </r>
    <r>
      <rPr>
        <i/>
        <sz val="11"/>
        <rFont val="Calibri"/>
        <family val="2"/>
        <scheme val="minor"/>
      </rPr>
      <t>example: Prep &amp; Finish Asphalt Siding (100 SF)</t>
    </r>
  </si>
  <si>
    <t>Prep &amp; Finish Siding (Clapboard or Wood)</t>
  </si>
  <si>
    <r>
      <t xml:space="preserve">Additional Charge used to supplement the Dense-pack wall insulation measure. For drilling through clapboard or wood siding and sheathing as well as plugging and caulking holes.  Does not include removal and re-installation of clapboard or wood siding. This item will appear in additional work area of building envelope section with area to be treated. </t>
    </r>
    <r>
      <rPr>
        <i/>
        <sz val="11"/>
        <rFont val="Calibri"/>
        <family val="2"/>
        <scheme val="minor"/>
      </rPr>
      <t>example: Prep &amp; Finish Wood Siding (100 SF)</t>
    </r>
  </si>
  <si>
    <t>Relocate Water Heater</t>
  </si>
  <si>
    <t>Example: Better position or remove/re-install the water heater when new equipment is installed. To improve water heater venting configuration.</t>
  </si>
  <si>
    <t>Return Ductwork Repair</t>
  </si>
  <si>
    <t>When needed to right-size airflow system to ensure proper functioning of HVAC.</t>
  </si>
  <si>
    <t>Supply Air ventilation solution</t>
  </si>
  <si>
    <t>Includes a supply ventilation solution installed to run demand-controlled and either continuously or intermittently to meet the requirements of ASHRAE 62.2-2016.  Includes any necessary electric work.  Does not include drywall or plaster finishing and does not include venting. Currently accepted solutions: Fresh air cycler - style products tied to a forced air HVAC system  (like AirCycler).</t>
  </si>
  <si>
    <t xml:space="preserve">Transfer grille </t>
  </si>
  <si>
    <r>
      <t xml:space="preserve">To alleviate pressure imbalance(s) associated with reducing depressuration to correct or prevent combustion appliance spillage or drafting concerns. Sized per NFPA 54. </t>
    </r>
    <r>
      <rPr>
        <b/>
        <sz val="11"/>
        <color theme="1"/>
        <rFont val="Calibri"/>
        <family val="2"/>
        <scheme val="minor"/>
      </rPr>
      <t>Consult with your Field Energy Specialist.</t>
    </r>
  </si>
  <si>
    <t>Upgrade Electrical Panel</t>
  </si>
  <si>
    <r>
      <t xml:space="preserve">To accommodate installation of new Air Source Heat Pump or Heat Pump Water Heater. </t>
    </r>
    <r>
      <rPr>
        <b/>
        <sz val="11"/>
        <rFont val="Calibri"/>
        <family val="2"/>
        <scheme val="minor"/>
      </rPr>
      <t>Consult with your Field Energy Specialist for pricing approval.</t>
    </r>
  </si>
  <si>
    <t>Ventilation controls</t>
  </si>
  <si>
    <t>May include wall switches or other controls to operate an existing bathroom exhaust fan in order to meet the requirements of ASHRAE 62.2-2016.  The existing fan must operate at a sound level of 1.0 sone or less.</t>
  </si>
  <si>
    <t>Incentivized HVAC Measures</t>
  </si>
  <si>
    <t>*Tier 3 = Standard Heating &amp; Cooling Offering Incentives</t>
  </si>
  <si>
    <t>up to 40,000 BTU</t>
  </si>
  <si>
    <t>up to 60,000 BTU</t>
  </si>
  <si>
    <t>Up to 80,000 BTU</t>
  </si>
  <si>
    <t>Up to 100,000 BTU</t>
  </si>
  <si>
    <t>Greater than 100,000 BTU</t>
  </si>
  <si>
    <t>90% Natural Gas Boiler</t>
  </si>
  <si>
    <t>Includes properly sized boiler using Manual J and Manual S, 90% AFUE (minimum) and all associated items for change-out installed as per manufacturer's installation instructions.  May include but is not limited to:  re-work of water supply, water piping connections, properly sized circulator pump(s), venting of products of combustion, intake of combustion air from outside the home, electric, gas piping, condensate removal, removal of old equipment, fasteners, screws, brackets, and hangers.</t>
  </si>
  <si>
    <t>Up to 120,000 BTU</t>
  </si>
  <si>
    <t>Greater than 120,000 BTU</t>
  </si>
  <si>
    <t>16 SEER Air Conditioner</t>
  </si>
  <si>
    <t xml:space="preserve">1.5 ton </t>
  </si>
  <si>
    <t>Consult with your distributor</t>
  </si>
  <si>
    <t>Includes properly sized air conditioner using Manual J and Manual S, AHRI 16 SEER (minimum) and all associated items for change-out installed as per manufacturer's installation instructions.  May include but is not limited to:  re-work of supply plenum, re-work of return drop, re-work of filter cabinet, filter slot cover, properly sized blower and motor, replacement of line set (or flush), pad, refrigerant, disconnect, condensate removal, electric, recovery of old refrigerant, removal of old equipment, fasteners, screws, brackets, and hangers.</t>
  </si>
  <si>
    <t>2.0 ton</t>
  </si>
  <si>
    <t xml:space="preserve">2.5 ton </t>
  </si>
  <si>
    <t>3.0 ton</t>
  </si>
  <si>
    <t>3.5 ton</t>
  </si>
  <si>
    <t>4.0 ton</t>
  </si>
  <si>
    <t>4.5 ton</t>
  </si>
  <si>
    <t>5.0 ton</t>
  </si>
  <si>
    <t>16 SEER Air Source Heat Pump</t>
  </si>
  <si>
    <t>Includes properly sized air source heat pump using Manual J and Manual S, AHRI 16 SEER (minimum) and all associated items for change-out installed as per manufacturer's installation instructions.  May include but is not limited to:  re-work of supply plenum, re-work of return drop, re-work of filter cabinet, filter slot cover, properly sized blower and motor, replacement of line set (or flush), pad, refrigerant, disconnect, condensate removal, electric, recovery of old refrigerant, removal of old equipment, fasteners, screws, brackets, and hangers.</t>
  </si>
  <si>
    <t>Installed in new gas furnace</t>
  </si>
  <si>
    <t>BPM (Brushless Permanent Magnet) ECM (Electronically Commutated Motor) Must be documented on AHRI certificate provided for new furnace. Must be part of incentivized furnace replacement.</t>
  </si>
  <si>
    <t>Energy Star Certified Heat Pump Water Heater</t>
  </si>
  <si>
    <t>Less than 50 Gallon</t>
  </si>
  <si>
    <t>Must be replacement of existing electric water heater. Energy Star Certified - refer to Energy Star Certified Products List on Ally Portal. Installed per manufacturer's recommendations &amp; local code(s) as applicable.</t>
  </si>
  <si>
    <t>50 - 55 Gallon</t>
  </si>
  <si>
    <t>60-65 Gallon</t>
  </si>
  <si>
    <t>Other Sizes</t>
  </si>
  <si>
    <t>Consult with your Field Energy Specialist.</t>
  </si>
  <si>
    <t>Energy Star Certified Room Air Conditioner</t>
  </si>
  <si>
    <t>Less than 8,000 BTU</t>
  </si>
  <si>
    <t>Must be replacement of an existing room air conditioner that is not Energy Star certified or is over 10 years old. Refer to the Energy Star Certified Products List on the Ally Portal. Installed per manufacturer's recommendations &amp; local code(s) as applicable. Unit must be installed &amp; window installations must include weatherization of the window. Existing unit(s) must be recycled through Program authorized methods. Incentives limited to the # of bedrooms plus 1, with a maximum of 4. Room air conditioners may be incentivized even when central air is present given this is a replacement of a qualifying existing room a/c &amp; the room the window air conditioner is installed in is not cooled by the central air conditioner.</t>
  </si>
  <si>
    <t>8,000 to 11,999 BTU</t>
  </si>
  <si>
    <t>12,000 BTU or greater</t>
  </si>
  <si>
    <r>
      <t xml:space="preserve">If existing electrical connection doesn't meet manufacturer's installation recommendations and/or local code(s). </t>
    </r>
    <r>
      <rPr>
        <b/>
        <sz val="11"/>
        <color theme="1"/>
        <rFont val="Calibri"/>
        <family val="2"/>
        <scheme val="minor"/>
      </rPr>
      <t>Consult with your Field Energy Specialist.</t>
    </r>
  </si>
  <si>
    <t>Other HVAC Measures</t>
  </si>
  <si>
    <t>May replace an existing manual or programmable thermostat. Refer to Energy Star Certified Products List on Ally Portal.</t>
  </si>
  <si>
    <t>Bathroom exhaust fan w/o light</t>
  </si>
  <si>
    <t>Includes an exhaust fan installed to run demand-controlled and either continuously or intermittently to meet the requirements of ASHRAE 62.2-2016.  Includes any necessary electric work.  Does not include drywall or plaster finishing and does not include venting.</t>
  </si>
  <si>
    <t>Bathroom exhaust fan w/light</t>
  </si>
  <si>
    <t>Seal heating system duct work in an unconditioned space</t>
  </si>
  <si>
    <t>Per
Home</t>
  </si>
  <si>
    <t xml:space="preserve">50% or more of heating duct system must be located in un-conditioned space.  All accessible trunks, ducts, plenums, boots, boot to drywall connections to be sealed. </t>
  </si>
  <si>
    <t>Heat Pump Clothes Dryer</t>
  </si>
  <si>
    <t>May replace an existing propane fueled clothes dryer. Refer to Energy Star Certified Products List on Ally Portal.</t>
  </si>
  <si>
    <t>Induction Cooktop</t>
  </si>
  <si>
    <t xml:space="preserve">May replace an existing propane fueled stovetop. </t>
  </si>
  <si>
    <t>Air Handling Cabinet</t>
  </si>
  <si>
    <r>
      <t xml:space="preserve">For use with Dedicated CAC/Hydro-Air Coils.  No specific program price.  Price will be reviewed for reasonableness on a case-by-case basis. </t>
    </r>
    <r>
      <rPr>
        <b/>
        <sz val="11"/>
        <color theme="1"/>
        <rFont val="Calibri"/>
        <family val="2"/>
        <scheme val="minor"/>
      </rPr>
      <t>Consult with your Field Energy Specialist.</t>
    </r>
  </si>
  <si>
    <t>Solar Powered Attic Fan</t>
  </si>
  <si>
    <t>Consult with your Field Energy Specialist for eligibility and pricing approval.</t>
  </si>
  <si>
    <t>Revised 6/16/2023</t>
  </si>
  <si>
    <t xml:space="preserve">                                                  PY24 Home Efficiency - Program Pricing with Incentive Tiers                                                                  </t>
  </si>
  <si>
    <t>Size</t>
  </si>
  <si>
    <t>Tier 2 Incentive</t>
  </si>
  <si>
    <t>Natural Gas Furnace 95% AFUE (System 1)</t>
  </si>
  <si>
    <t>40,000 BTU or less</t>
  </si>
  <si>
    <t>41,000 to 60,000 BTU</t>
  </si>
  <si>
    <t>61,000 to 80,000 BTU</t>
  </si>
  <si>
    <t>81,000 to 100,000 BTU</t>
  </si>
  <si>
    <t>101,000 to 120,000 BTU</t>
  </si>
  <si>
    <t>Natural Gas Boiler 90% AFUE (System 1)</t>
  </si>
  <si>
    <t>Emergency Furnace</t>
  </si>
  <si>
    <t>table</t>
  </si>
  <si>
    <t>value</t>
  </si>
  <si>
    <t>AMIL #</t>
  </si>
  <si>
    <t>Power Vented Water Heater 
[Energy Star Certified]</t>
  </si>
  <si>
    <t>Heat Pump Water Heater 
[Energy Star Certified]</t>
  </si>
  <si>
    <t>Water Heater 
[Energy Star Certified]</t>
  </si>
  <si>
    <t>Natural Gas Furnace [95% AFUE]</t>
  </si>
  <si>
    <t>Natural Gas Boiler [90% AFUE]</t>
  </si>
  <si>
    <t>Emergency Furnace [95% AFUE]</t>
  </si>
  <si>
    <t>SECTION 4: HEALTH AND SAFETY</t>
  </si>
  <si>
    <t>Service calls &amp; diagnostics</t>
  </si>
  <si>
    <t xml:space="preserve">Repair of primary heating source </t>
  </si>
  <si>
    <t>Repair of primary cooling source</t>
  </si>
  <si>
    <t>Clean indoor evaporator coil</t>
  </si>
  <si>
    <t>Replace indoor evaporator coil</t>
  </si>
  <si>
    <t>Condensate pump (plus related items)</t>
  </si>
  <si>
    <t>Vapor barrier</t>
  </si>
  <si>
    <t>Sump pump repair or replacement</t>
  </si>
  <si>
    <t>New sump system installation (pit, trenching, &amp; drainage tile)</t>
  </si>
  <si>
    <t>Crawlspace dig out - create enough height for accessibility</t>
  </si>
  <si>
    <t>Horizontal guttering</t>
  </si>
  <si>
    <t>Gutter accessories (downspout &amp; extensions)</t>
  </si>
  <si>
    <t xml:space="preserve">Exterior water management </t>
  </si>
  <si>
    <t>Roofing, siding, or other minor exterior work to prevent water from entering building</t>
  </si>
  <si>
    <t>Drain clearing (typically floor)</t>
  </si>
  <si>
    <t>Minor plumbing repair</t>
  </si>
  <si>
    <t>Interior pressure boundary surface (ceilings, walls) repair</t>
  </si>
  <si>
    <t>Removal/replacement of existing un-fit (compromised) insulation</t>
  </si>
  <si>
    <t>Transfer/passive air grilles</t>
  </si>
  <si>
    <t>Make up air</t>
  </si>
  <si>
    <t>Combustion air</t>
  </si>
  <si>
    <t>Combustion safety testing (non project)</t>
  </si>
  <si>
    <t xml:space="preserve">Gas leak repair </t>
  </si>
  <si>
    <t>Appliance gas line replacement or removal and disposal</t>
  </si>
  <si>
    <t>Gas line replacement or removal and disposal</t>
  </si>
  <si>
    <t>Adding shut-off valves where none are existing</t>
  </si>
  <si>
    <t>Carbon monoxide alarms</t>
  </si>
  <si>
    <t>Vent exhaust fan outside</t>
  </si>
  <si>
    <t>Asbestos remediation</t>
  </si>
  <si>
    <t>Asbestos encapsulation and enclosure (duct wrap)</t>
  </si>
  <si>
    <t>SECTION 5: FINANCIAL SUMMARY</t>
  </si>
  <si>
    <t>Total Project Cost</t>
  </si>
  <si>
    <t>SECTION 6: RESERVATION REQUEST - CUSTOMER AUTHORIZATION OF PROJECT</t>
  </si>
  <si>
    <t>SECTION 7: INCENTIVE PAYMENT REQUEST - ACKNOWLEDGEMENT OF PROJECT COMPLETION</t>
  </si>
  <si>
    <r>
      <rPr>
        <b/>
        <sz val="8"/>
        <color theme="1"/>
        <rFont val="Calibri"/>
        <family val="2"/>
        <scheme val="minor"/>
      </rPr>
      <t xml:space="preserve">Form Use: </t>
    </r>
    <r>
      <rPr>
        <sz val="8"/>
        <color theme="1"/>
        <rFont val="Calibri"/>
        <family val="2"/>
        <scheme val="minor"/>
      </rPr>
      <t xml:space="preserve">This form is to be used to submit reservation requests and incentive payment requests.
</t>
    </r>
    <r>
      <rPr>
        <b/>
        <sz val="8"/>
        <color theme="1"/>
        <rFont val="Calibri"/>
        <family val="2"/>
        <scheme val="minor"/>
      </rPr>
      <t>Sections 1-4:</t>
    </r>
    <r>
      <rPr>
        <sz val="8"/>
        <color theme="1"/>
        <rFont val="Calibri"/>
        <family val="2"/>
        <scheme val="minor"/>
      </rPr>
      <t xml:space="preserve"> Used to specify proposed work scope, and upon approval, reserve program incentives for a period of 30 days.
</t>
    </r>
    <r>
      <rPr>
        <b/>
        <sz val="8"/>
        <color theme="1"/>
        <rFont val="Calibri"/>
        <family val="2"/>
        <scheme val="minor"/>
      </rPr>
      <t>Please note:</t>
    </r>
    <r>
      <rPr>
        <sz val="8"/>
        <color theme="1"/>
        <rFont val="Calibri"/>
        <family val="2"/>
        <scheme val="minor"/>
      </rPr>
      <t xml:space="preserve"> All approved customers will have received a confirmation number via email indicating that they are eligible for Program Incentives.</t>
    </r>
  </si>
  <si>
    <t>Project Number</t>
  </si>
  <si>
    <t>Print Customer Name</t>
  </si>
  <si>
    <t>Qty</t>
  </si>
  <si>
    <t xml:space="preserve">This is the scope of work for the resident at </t>
  </si>
  <si>
    <t>Pre-install 
R-value</t>
  </si>
  <si>
    <t>CUSTOMER AND PROGRAM ALLY INFORMATION</t>
  </si>
  <si>
    <t>Project ID:</t>
  </si>
  <si>
    <t>Date:</t>
  </si>
  <si>
    <t>Employee Name:</t>
  </si>
  <si>
    <t>Not Applicable</t>
  </si>
  <si>
    <t>ANCILLARY COSTS INFORMATION</t>
  </si>
  <si>
    <t>Additional Items Total:</t>
  </si>
  <si>
    <t>General Notes:</t>
  </si>
  <si>
    <t>I, the undersigned, understand all of the costs associated with the additional items listed above. I understand that these costs are my responsibility to pay and I am comfortable with this total out of pocket cost.</t>
  </si>
  <si>
    <t>Print Customer Name:</t>
  </si>
  <si>
    <t>Customer Signature:</t>
  </si>
  <si>
    <t>Program Ally Signature:</t>
  </si>
  <si>
    <r>
      <rPr>
        <b/>
        <sz val="11"/>
        <color theme="1" tint="0.34998626667073579"/>
        <rFont val="Calibri"/>
        <family val="2"/>
        <scheme val="minor"/>
      </rPr>
      <t>PLEASE DIRECT ALL CORRESPONDENCE TO:</t>
    </r>
    <r>
      <rPr>
        <sz val="11"/>
        <color theme="1" tint="0.34998626667073579"/>
        <rFont val="Calibri"/>
        <family val="2"/>
        <scheme val="minor"/>
      </rPr>
      <t xml:space="preserve">
</t>
    </r>
    <r>
      <rPr>
        <sz val="9"/>
        <color theme="1" tint="0.34998626667073579"/>
        <rFont val="Calibri"/>
        <family val="2"/>
        <scheme val="minor"/>
      </rPr>
      <t>Ameren Illinois Energy Efficiency Programs PO Box 5098, Peoria IL 61601-9998
Toll-free: 1.866.838.6918 Fax: 1.309.677.7961 AmerenIllinoisSavings.com</t>
    </r>
  </si>
  <si>
    <t>PY2024 Ancillary Costs Information Form</t>
  </si>
  <si>
    <t>Ancillary costs are any customer costs resulting from the customer’s participation in the HEIQ Program that are not otherwise documented within the HEIQ Program scope of work.
Please complete all required information and submit this form as an attachment to the Reservation Request</t>
  </si>
  <si>
    <t>Street Address:</t>
  </si>
  <si>
    <t>Ally Name:</t>
  </si>
  <si>
    <t>Check the box if there are no additional costs not otherwise documented in the HEIQ workbook</t>
  </si>
  <si>
    <t>Additional Items</t>
  </si>
  <si>
    <t>Heating Capacity 
(Btuh or KwH)</t>
  </si>
  <si>
    <t>Bonus Acknowledgement Form</t>
  </si>
  <si>
    <t>I understand that there is a customer bonus (up to $1,000) available to me for this Home Efficiency Income Qualified Offering project, courtesy of Warm Neighbors Cool Friends. I am signing below to acknowledge that I would not be able to participate in this Offering without this bonus applied to my project, as this bonus is critical to allowing me to pay for the out-of-pocket costs related to the project.</t>
  </si>
  <si>
    <t>Total Out-of-Pocket Project Cost:</t>
  </si>
  <si>
    <t>Final Customer Out-of-Pocket Cost:</t>
  </si>
  <si>
    <t xml:space="preserve">Ameren Illinois Project Number: </t>
  </si>
  <si>
    <r>
      <t xml:space="preserve">Warm Neighbors Cool Friends Bonus:               </t>
    </r>
    <r>
      <rPr>
        <b/>
        <sz val="11"/>
        <color theme="1"/>
        <rFont val="Calibri"/>
        <family val="2"/>
        <scheme val="minor"/>
      </rPr>
      <t>-</t>
    </r>
  </si>
  <si>
    <t>Total Project Bonus</t>
  </si>
  <si>
    <t xml:space="preserve">Date: </t>
  </si>
  <si>
    <t xml:space="preserve">Customer Signature: </t>
  </si>
  <si>
    <t>Details of additional items</t>
  </si>
  <si>
    <t>SIGNATURES</t>
  </si>
  <si>
    <t>AMPLIFY Details Page Information</t>
  </si>
  <si>
    <t>AMPLIFY Line Items Information</t>
  </si>
  <si>
    <t>Incentive</t>
  </si>
  <si>
    <t>kWh</t>
  </si>
  <si>
    <t>therms</t>
  </si>
  <si>
    <t>BPM Motor System 1</t>
  </si>
  <si>
    <t>BPM Motor System 2</t>
  </si>
  <si>
    <t>Measures - Gas</t>
  </si>
  <si>
    <t>Measures - Electric</t>
  </si>
  <si>
    <t>Heat Pump Water Heater*</t>
  </si>
  <si>
    <t>Power Vented Water Heater**</t>
  </si>
  <si>
    <t>*HPWH kWh savings is the average of savings from PY20-PY23</t>
  </si>
  <si>
    <t>X</t>
  </si>
  <si>
    <t>Existing Thermostat</t>
  </si>
  <si>
    <t>Existing Water Heater</t>
  </si>
  <si>
    <t>Attic R19 savings is the average of savings from our actual project data</t>
  </si>
  <si>
    <t>Ally A</t>
  </si>
  <si>
    <t>Ally B</t>
  </si>
  <si>
    <t>Additional Energy Efficiency Cost Breakdown Tier 2</t>
  </si>
  <si>
    <t>INCENTIVE</t>
  </si>
  <si>
    <t>QTY</t>
  </si>
  <si>
    <t>CUSTOMER COST</t>
  </si>
  <si>
    <t>Health and Safety Totals</t>
  </si>
  <si>
    <t>Additional Energy Efficiency Totals</t>
  </si>
  <si>
    <t>**PVWH therms savings is the average of savings in PY23</t>
  </si>
  <si>
    <t xml:space="preserve"> </t>
  </si>
  <si>
    <t>**annual savings only</t>
  </si>
  <si>
    <t>**project cost only</t>
  </si>
  <si>
    <t>Project Evaluation Score</t>
  </si>
  <si>
    <t>Savings</t>
  </si>
  <si>
    <t>Total HVAC</t>
  </si>
  <si>
    <t>Total BE</t>
  </si>
  <si>
    <t>BE Gas</t>
  </si>
  <si>
    <t>BE Electric</t>
  </si>
  <si>
    <t>Final Project Score</t>
  </si>
  <si>
    <t>Total Savings</t>
  </si>
  <si>
    <t>Measure Cost</t>
  </si>
  <si>
    <t>Cost/savings</t>
  </si>
  <si>
    <t>therms x 29.3</t>
  </si>
  <si>
    <t>Therms conversion to kWh</t>
  </si>
  <si>
    <t>Total Cost</t>
  </si>
  <si>
    <t>Total Incentive</t>
  </si>
  <si>
    <t>Mftr</t>
  </si>
  <si>
    <t>TR Project Score Review</t>
  </si>
  <si>
    <t>Amplify kWh</t>
  </si>
  <si>
    <t>Amplify therms</t>
  </si>
  <si>
    <t>Amplify Project Score</t>
  </si>
  <si>
    <t>Thermostat Type</t>
  </si>
  <si>
    <t>Ancillary Costs</t>
  </si>
  <si>
    <t>Program Ally "A"</t>
  </si>
  <si>
    <t>Program Ally "B"</t>
  </si>
  <si>
    <t>TR Price Check</t>
  </si>
  <si>
    <t>Measure Details</t>
  </si>
  <si>
    <t>Description</t>
  </si>
  <si>
    <t>Cooling Capacity</t>
  </si>
  <si>
    <t>Heating Capacity</t>
  </si>
  <si>
    <t>HSPF</t>
  </si>
  <si>
    <t>EER</t>
  </si>
  <si>
    <t>17F Capacity</t>
  </si>
  <si>
    <t>TOTAL</t>
  </si>
  <si>
    <t>Central Air Conditioner</t>
  </si>
  <si>
    <t>BPM Motor ER System 1</t>
  </si>
  <si>
    <t>BPM Motor ER System 2</t>
  </si>
  <si>
    <r>
      <t>Type</t>
    </r>
    <r>
      <rPr>
        <b/>
        <sz val="11"/>
        <color rgb="FFFF0000"/>
        <rFont val="Calibri"/>
        <family val="2"/>
        <scheme val="minor"/>
      </rPr>
      <t>*</t>
    </r>
  </si>
  <si>
    <r>
      <t>AFUE</t>
    </r>
    <r>
      <rPr>
        <b/>
        <sz val="11"/>
        <color rgb="FFFF0000"/>
        <rFont val="Calibri"/>
        <family val="2"/>
        <scheme val="minor"/>
      </rPr>
      <t>**</t>
    </r>
  </si>
  <si>
    <r>
      <t>Capacity</t>
    </r>
    <r>
      <rPr>
        <b/>
        <sz val="11"/>
        <color rgb="FFFF0000"/>
        <rFont val="Calibri"/>
        <family val="2"/>
        <scheme val="minor"/>
      </rPr>
      <t>**</t>
    </r>
  </si>
  <si>
    <r>
      <t>SEER</t>
    </r>
    <r>
      <rPr>
        <b/>
        <sz val="11"/>
        <color rgb="FFFF0000"/>
        <rFont val="Calibri"/>
        <family val="2"/>
        <scheme val="minor"/>
      </rPr>
      <t>**</t>
    </r>
  </si>
  <si>
    <r>
      <rPr>
        <b/>
        <sz val="11"/>
        <color rgb="FFFF0000"/>
        <rFont val="Calibri"/>
        <family val="2"/>
        <scheme val="minor"/>
      </rPr>
      <t>*</t>
    </r>
    <r>
      <rPr>
        <sz val="11"/>
        <color theme="1"/>
        <rFont val="Calibri"/>
        <family val="2"/>
        <scheme val="minor"/>
      </rPr>
      <t xml:space="preserve"> heating and cooling type must be entered, use "None" for cooling if none exists</t>
    </r>
  </si>
  <si>
    <t>TR Notes</t>
  </si>
  <si>
    <t>Data Entry Notes</t>
  </si>
  <si>
    <t>Application Instructions:</t>
  </si>
  <si>
    <t>Central AC 
[SEER2 15.2/EER2 11.88 or greater]</t>
  </si>
  <si>
    <t>Air Source Heat Pump 
[SEER2 15.2/HSPF2 8.1 or greater]</t>
  </si>
  <si>
    <t>Program Qualified Products:</t>
  </si>
  <si>
    <t>ENERGY STAR Certified Smart Thermostats</t>
  </si>
  <si>
    <t>Enter the 7 digit ENERGY STAR Unique ID number listed in the product details</t>
  </si>
  <si>
    <t>LINK</t>
  </si>
  <si>
    <t>Propane Furnace</t>
  </si>
  <si>
    <t>Propane Boiler</t>
  </si>
  <si>
    <t>PY2024 Electrification Workbook</t>
  </si>
  <si>
    <t>SECTION 1: ELECTRIFICATION MEASURE INFORMATION</t>
  </si>
  <si>
    <t>SECTION 2: ADDITIONAL ENERGY EFFICIENCY COST</t>
  </si>
  <si>
    <t>Heat Pump Clothes Dryer
[Energy Star Certified]</t>
  </si>
  <si>
    <t>Air Source Heat Pump
[SEER2 15.2/HSPF2 8.1 or greater]</t>
  </si>
  <si>
    <t>Ductless Air Source Heat Pump
[SEER2 15.2/HSPF2 8.55 or greater]</t>
  </si>
  <si>
    <t>Electrification Measure Totals</t>
  </si>
  <si>
    <t>Total Customer Cost</t>
  </si>
  <si>
    <t>SECTION 3: HEALTH AND SAFETY</t>
  </si>
  <si>
    <t>SECTION 4: FINANCIAL SUMMARY</t>
  </si>
  <si>
    <t>SECTION 5: RESERVATION REQUEST - CUSTOMER AUTHORIZATION OF PROJECT</t>
  </si>
  <si>
    <t>SECTION 6: INCENTIVE PAYMENT REQUEST - ACKNOWLEDGEMENT OF PROJECT COMPLETION</t>
  </si>
  <si>
    <t>Additonal Energy Efficiency Cost Electrification tab</t>
  </si>
  <si>
    <t>Reservation Request - Supporting Documentation Checklist</t>
  </si>
  <si>
    <t>• ACCA Approved Building Load Calculation Based on Improved (Post Retrofit) Home</t>
  </si>
  <si>
    <t>• Energy Audit Test Form</t>
  </si>
  <si>
    <t>• Ancillary Costs Form for Tier 1 and Tier 2 applicants</t>
  </si>
  <si>
    <t>• AHRI Certificates for All Applicable Equipment</t>
  </si>
  <si>
    <t>• Signed and excel versions of the application</t>
  </si>
  <si>
    <t>Incentive Payment Request - Project Completion Supporting Documentation Checklist</t>
  </si>
  <si>
    <t>ENERGY STAR Certified Room Air Conditioner</t>
  </si>
  <si>
    <t>• Inspection Disclaimer Form</t>
  </si>
  <si>
    <t>TR Forms Check</t>
  </si>
  <si>
    <t>Ancillary Costs Form</t>
  </si>
  <si>
    <r>
      <t xml:space="preserve"> "</t>
    </r>
    <r>
      <rPr>
        <b/>
        <u/>
        <sz val="11"/>
        <color theme="1"/>
        <rFont val="Calibri"/>
        <family val="2"/>
        <scheme val="minor"/>
      </rPr>
      <t>Not to exceed</t>
    </r>
    <r>
      <rPr>
        <b/>
        <sz val="11"/>
        <color theme="1"/>
        <rFont val="Calibri"/>
        <family val="2"/>
        <scheme val="minor"/>
      </rPr>
      <t>" prices. It is not required to charge the full amount if the work can be completed for less.</t>
    </r>
  </si>
  <si>
    <t>Health &amp; Safety Item</t>
  </si>
  <si>
    <t>Price</t>
  </si>
  <si>
    <t>H&amp;S Item Description</t>
  </si>
  <si>
    <t>Before Project</t>
  </si>
  <si>
    <t>During Project</t>
  </si>
  <si>
    <t>Before or During Project</t>
  </si>
  <si>
    <t>HVAC System Repair &amp; Replacement - Un-safe operating condition or non-working system</t>
  </si>
  <si>
    <t>*</t>
  </si>
  <si>
    <t>Directly related to line items 6-10. First step in correction of many H&amp;S related concerns such as, but not limited to: no heat, a/c, related water damage to furnace or surrounding area, spillage, water heater issues, thermostat issues, gas leaks, &amp; carbon monoxide concerns.</t>
  </si>
  <si>
    <t>Y</t>
  </si>
  <si>
    <t>Restore heat and/or correct un-safe condition with heating system</t>
  </si>
  <si>
    <t>Directly relates to the heating system not working properly or water damage to the connected heating system and/or surrounding area, or line set leak.</t>
  </si>
  <si>
    <t>Directly relates to the heating system not working properly or water damage to the connected heating system and/or surrounding area.</t>
  </si>
  <si>
    <t>Condensate Pump (Plus related items)</t>
  </si>
  <si>
    <t xml:space="preserve">Correct or prevent water damage issues resulting from improper condensate removal. </t>
  </si>
  <si>
    <t>Disclaimer Related</t>
  </si>
  <si>
    <t>Bulk Moisture - Leads to many issues including but not limited to: mold, degradation of building materials, &amp; IAQ concerns.</t>
  </si>
  <si>
    <t>Vapor Barrier</t>
  </si>
  <si>
    <t>Square foot</t>
  </si>
  <si>
    <t>Prevent communication of ground moisture into building envelope and/or onto building components.</t>
  </si>
  <si>
    <t xml:space="preserve">Correct or prevent water accumulation within the building envelope. </t>
  </si>
  <si>
    <t>Each/Per Square Foot</t>
  </si>
  <si>
    <t>Linear Foot</t>
  </si>
  <si>
    <t>Correct or prevent water accumulation within the building envelope. Correct and/or prevent water related damage to building components.</t>
  </si>
  <si>
    <t>Case by Case</t>
  </si>
  <si>
    <t>Correct or prevent water accumulation within the building envelope. Correct and/or prevent water related damage to building components. Sewer back-ups present other H&amp;S related concerns as well.</t>
  </si>
  <si>
    <t>Water heater repair</t>
  </si>
  <si>
    <t>Each/ Case by Case</t>
  </si>
  <si>
    <t>Correct and/or prevent water related damage to building components.</t>
  </si>
  <si>
    <t>Water heater replacement</t>
  </si>
  <si>
    <t xml:space="preserve">Correct and/or prevent water related damage to building components. Correct an un-safe operating condition or consider when the cost of the initial or multiple repairs are substantially close to replacement cost. </t>
  </si>
  <si>
    <t>Encapsulation and Enclosure (Duct Wrap)</t>
  </si>
  <si>
    <t>Each (or each joint)</t>
  </si>
  <si>
    <t>Address friable suspect asbestos that could be disturbed during the course of a project. Friable asbestos is known to cause respiratory issues and is a carcinogen.</t>
  </si>
  <si>
    <t>Remediation</t>
  </si>
  <si>
    <t>Each House</t>
  </si>
  <si>
    <t>Repair from Damaging Incident  </t>
  </si>
  <si>
    <t>Per Square Foot</t>
  </si>
  <si>
    <t>Unforeseen damage not attributable to the Program Ally or Program staff. Ensure a safe level of heating/cooling can be maintained. Prevent/stop moisture or pest entry.</t>
  </si>
  <si>
    <t>Per Square Foot/Case by Case</t>
  </si>
  <si>
    <t xml:space="preserve">Alleviate potential indoor air quality concerns. Establish a safe environment for those entering spaces containing insulation that is damaged in some way, typically moisture or pest related. Maybe previous mold or fire damage. </t>
  </si>
  <si>
    <t>Combustion Safety and Fuel Distribution System</t>
  </si>
  <si>
    <t>Venting system repair &amp; replacement</t>
  </si>
  <si>
    <t>Correct an un-safe operating condition. Ensure combustion appliance exhaust is properly vented outside.</t>
  </si>
  <si>
    <t>Flue Liner</t>
  </si>
  <si>
    <t>Draft assist &amp; power venting kits</t>
  </si>
  <si>
    <t>Service Calls &amp; diagnostics</t>
  </si>
  <si>
    <t>Time</t>
  </si>
  <si>
    <t>Each/Case by Case</t>
  </si>
  <si>
    <t xml:space="preserve">Ensure combustion appliance exhaust is properly vented outside. Correct and/or prevent water related damage to building components. Correct an un-safe operating condition or consider when the cost of the initial or multiple repairs are substantially close to replacement cost. </t>
  </si>
  <si>
    <t>Ensure combustion appliance exhaust is properly vented outside. Correct and/or prevent water related damage to building components. Correct an un-safe operating condition or consider when the cost of the initial or multiple repairs are substantially close to replacement cost. Unit must be Energy Star Certified.</t>
  </si>
  <si>
    <t>Work Intended to Reduce Depressurization / Correct back drafting &amp; Spillage / Resolve interior ambient CO concerns</t>
  </si>
  <si>
    <t>To alleviate pressure imbalance(s) associated with reducing depressuration to correct or prevent combustion appliance spillage or drafting concerns. Sized per NFPA 54.</t>
  </si>
  <si>
    <t>Each or Volume Required</t>
  </si>
  <si>
    <t>Combustion Safety Testing (non project)</t>
  </si>
  <si>
    <t>Validate combustion safety. Address a related concern that develops post project or in the case of no project being eligible for another reason.</t>
  </si>
  <si>
    <t>Resolve customer health &amp; safety related concerns attributable to acute or chronic exposure and potential ignition of gas.</t>
  </si>
  <si>
    <t xml:space="preserve">Establish a way to shut off gas to individual appliances without shutting off gas to whole home when there is a gas leak in the home. </t>
  </si>
  <si>
    <t>Carbon Monoxide Alarms</t>
  </si>
  <si>
    <t>Provides assurance that customers will be alerted to hazardous CO levels on an on-going basis.</t>
  </si>
  <si>
    <t>Ventilation Related</t>
  </si>
  <si>
    <t>* Consult with your Field Energy Specialist for pricing approval.</t>
  </si>
  <si>
    <t>Revised 5/24/2022</t>
  </si>
  <si>
    <t>Remove moisture and indoor air contaminants from the home. Termination of fan vent must penetrate gable-end or roof. Terminating an exhaust fan vent duct at or near roof or gable vents is not permissible.</t>
  </si>
  <si>
    <t>PY24 Home Efficiency - Health and Safety Items and Pricing</t>
  </si>
  <si>
    <t>Existing</t>
  </si>
  <si>
    <t>Includes properly sized furnace using Manual J and Manual S, 95% AFUE (minimum) and all associated items for change-out installed as per manufacturer's installation instructions. Must be equipped with a high efficiency blower motor, BPM (Brushless Permanent Magnet) ECM (Electronically Commutated Motor) and must be documented on AHRI certificate provided for new furnace. May include, but is not limited to:  re-work of supply plenum, re-work of return drop, re-work of filter cabinet, filter slot cover, air handler, properly sized blower and motor, venting of products of combustion, intake of combustion air from outside the home, condensate removal, electric, gas piping, removal of old equipment, fasteners, screws, brackets, and hangers.</t>
  </si>
  <si>
    <t>95% Natural Gas Furnace with High Efficiency Blower Motor</t>
  </si>
  <si>
    <t>AMEREN ILLINOIS ENERGY EFFICIENCY PROGRAM</t>
  </si>
  <si>
    <t>SECTION 3: EXISTING CONDITIONING EQUIPMENT INFORMATION</t>
  </si>
  <si>
    <t xml:space="preserve"> This is the scope of work for the resident at </t>
  </si>
  <si>
    <t xml:space="preserve"> The project will be completed by</t>
  </si>
  <si>
    <t>Crawl Space Wall Insulation &lt;= 2'</t>
  </si>
  <si>
    <t>Venting System Repair &amp; Replacement</t>
  </si>
  <si>
    <t>Removal/Replacement Of Existing Un-Fit (Compromised) Insulation</t>
  </si>
  <si>
    <t>HEIQ Duct Sealing Specification:</t>
  </si>
  <si>
    <t>*Score of &gt; 1 or &lt;= 2 - project may need further clarification/analysis</t>
  </si>
  <si>
    <t>*Score of &gt; 2 - will require special consideration and elevated approval</t>
  </si>
  <si>
    <t>highlighted fields must be entered in Amplify</t>
  </si>
  <si>
    <t>• Supporting Photographs, Diagrams, or Notes</t>
  </si>
  <si>
    <t xml:space="preserve">• Signed and dated customer contract and any authorized change orders clearly indicating scope and value of work, including </t>
  </si>
  <si>
    <t xml:space="preserve">   Ameren Illinois incentives</t>
  </si>
  <si>
    <t xml:space="preserve">• Customer invoice clearly listing the measures, quantity, cost, incentive with phrase “Ameren Illinois Energy Efficiency Program </t>
  </si>
  <si>
    <t xml:space="preserve">   Incentive”, manufacturer and model number of equipment, total project cost, and total customer out of pocket</t>
  </si>
  <si>
    <t>Percentage of Wall at Existing R-value</t>
  </si>
  <si>
    <t>Energy Audit Inspection Disclaimers</t>
  </si>
  <si>
    <t>Address:</t>
  </si>
  <si>
    <t>City:</t>
  </si>
  <si>
    <t>Zip Code:</t>
  </si>
  <si>
    <t xml:space="preserve">     ASBESTOS</t>
  </si>
  <si>
    <t>Applicable</t>
  </si>
  <si>
    <t>The following suspected Asbestos Containing Materials (ACMs) were identified in your home. It is important to understand that it is not possible to determine if a material has asbestos without professional testing and for this reason all possible ACMs must be treated as if it contains asbestos. This may disqualify your home from participation in the Ameren Illinois Energy Efficiency Program; however, proper precautions must be taken to ensure the suspect ACMs will not be disturbed. As a result, any measure that would result in work taking place in an area with suspect ACMs or that could disturb the asbestos is not allowed. For more information regarding asbestos, please visit www.epa.gov/asbestos and refer to “Suspect ACM White Paper”.</t>
  </si>
  <si>
    <t>Vermiculite</t>
  </si>
  <si>
    <t>Location:</t>
  </si>
  <si>
    <t>Suspect Asbestos Siding</t>
  </si>
  <si>
    <t>Suspect Asbestos Duct Wrap and/or Flue Pipe</t>
  </si>
  <si>
    <t>Other:</t>
  </si>
  <si>
    <t xml:space="preserve">     COMBUSTION SAFETY INSPECTION</t>
  </si>
  <si>
    <t>A combustion safety inspection was performed on your home to identify potential health and safety concerns. The testing was conducted in accordance with the Building Performance Institute ANSI/BPI-1200-S standard. The following combustion safety conditions were identified:</t>
  </si>
  <si>
    <t>Ambient Combustible Fuel Gas is greater than 10% Lower Explosive Limit (LEL)</t>
  </si>
  <si>
    <t>Carbon Monoxide detector is missing or inoperable</t>
  </si>
  <si>
    <t>Combustible Fuel Lines register a potential gas leak</t>
  </si>
  <si>
    <t xml:space="preserve">Ameren Illinois Gas Leak procedure was enacted     </t>
  </si>
  <si>
    <t>Ambient Carbon Monoxide (CO) is between 36-69 PPM</t>
  </si>
  <si>
    <t xml:space="preserve">Ambient Carbon Monoxide (CO) is greater than 69 PPM     </t>
  </si>
  <si>
    <t>Visual Inspection of the Combustion Appliance Zone (CAZ) has revealed the following:</t>
  </si>
  <si>
    <t>Appliance Spillage (Back drafting)</t>
  </si>
  <si>
    <t>Location 1:</t>
  </si>
  <si>
    <t>Location 2:</t>
  </si>
  <si>
    <t>High Undiluted Carbon Monoxide (CO) at Appliance(s)</t>
  </si>
  <si>
    <t>Limit:</t>
  </si>
  <si>
    <t>Measurement (PPM):</t>
  </si>
  <si>
    <t>Gas Oven has a Carbon Monoxide (CO) reading of greater than 225 parts per million (PPM); service required prior to building envelope work</t>
  </si>
  <si>
    <t>Unvented gas heater that does not comply with ANSI Z21.11.2. This appliance needs to be removed prior to building envelope work.</t>
  </si>
  <si>
    <t>Notes:</t>
  </si>
  <si>
    <t>These issues can cause potentially life threatening or hazardous situations. You are not eligible for Home Efficiency Program incentives for building envelope measures until these combustion safety issues are resolved by a qualified service technician. The service technician must leave a written certification that all combustion safety issues in your home are resolved. This must include (in writing) undiluted CO and draft test results indicating that the issue has been resolved per Building Performance Institute standards. This documentation must be emailed to the email address at the top of this form.</t>
  </si>
  <si>
    <t xml:space="preserve">     ATTIC ELECTRICAL</t>
  </si>
  <si>
    <t>Attic has exposed wiring junctions, open junction boxes, or fixtures that need to be properly sealed for building envelope work to proceed.</t>
  </si>
  <si>
    <t xml:space="preserve">     KNOB &amp; TUBE WIRING</t>
  </si>
  <si>
    <t xml:space="preserve">     Evidence of Knob &amp; Tube wiring has been observed in the following locations:</t>
  </si>
  <si>
    <t>Attic</t>
  </si>
  <si>
    <t>Walls</t>
  </si>
  <si>
    <t>Indications of “knob and tube” wiring were discovered. This old style of wiring involves individual wires that are run through walls and ceilings in a house, with ceramic “knobs” and “tubes” to prevent contact with wood framing. The knob and tube wiring that has been noted may or may not appear to be active. Even if the observed wiring appears to be inactive, there may still be active knob and tube circuits hidden inside walls or other inaccessible areas of the house. Program guidelines require that you must have the home checked by a licensed electrician and certified as being free of any and all active knob and tube wiring, before insulation and/or air sealing work can be done. Your licensed electrician will need to certify in writing the absence of any knob and tube wiring by filling out and submitting a signed copy of this document to the Home Efficiency Program in order to verify the absence or inactivity of the knob and tube wiring in the areas of your home where we are proposing insulation to be installed. Due to the liability involved in signing such a form, we suggest you show or describe this form to your electrician before hiring him to inspect your home to be sure he / she is willing to sign it. (Any additions, deletions or other alterations will render this form invalid).</t>
  </si>
  <si>
    <r>
      <rPr>
        <b/>
        <sz val="8"/>
        <color rgb="FF231F20"/>
        <rFont val="Calibri"/>
        <family val="2"/>
        <scheme val="minor"/>
      </rPr>
      <t>IMPORTANT:</t>
    </r>
    <r>
      <rPr>
        <sz val="8"/>
        <color rgb="FF231F20"/>
        <rFont val="Calibri"/>
        <family val="2"/>
        <scheme val="minor"/>
      </rPr>
      <t xml:space="preserve"> </t>
    </r>
    <r>
      <rPr>
        <i/>
        <sz val="8"/>
        <color rgb="FF231F20"/>
        <rFont val="Calibri"/>
        <family val="2"/>
        <scheme val="minor"/>
      </rPr>
      <t>The completed certification form at the end of this document MUST be received by the Home Efficiency Program at the address listed below before a Contract is issued for energy-saving insulation and/or air sealing work.</t>
    </r>
  </si>
  <si>
    <t xml:space="preserve">     MOISTURE RELATED ISSUES</t>
  </si>
  <si>
    <t>There are exterior bulk moisture concerns related to the following items (examples: gutter, grading, roofing, siding)</t>
  </si>
  <si>
    <t>Describe:</t>
  </si>
  <si>
    <t>There is standing water observed in the following areas (examples: crawl space, basement)</t>
  </si>
  <si>
    <t>There are other moisture concerns in the following areas (examples: open sump pit, leaking plumbing, dryer venting)</t>
  </si>
  <si>
    <t xml:space="preserve">All water related issues; leaking roofs, standing water in the crawl space, water leaks in the basement, for example (there are additional issues that are to numerous to include in this document) must be corrected before any work can be started on the home.   </t>
  </si>
  <si>
    <t xml:space="preserve">     MOLD-LIKE SUBSTANCE</t>
  </si>
  <si>
    <t>A mold-like substance has been found in one or more areas of your home. Mold is an organic substance that has been shown to cause adverse health effects in some individuals.</t>
  </si>
  <si>
    <r>
      <t xml:space="preserve">When a mold-like substance is found to be present in an area of your home and it exceeds an area greater than 10 square feet, your home is </t>
    </r>
    <r>
      <rPr>
        <u/>
        <sz val="8"/>
        <color theme="1"/>
        <rFont val="Calibri"/>
        <family val="2"/>
        <scheme val="minor"/>
      </rPr>
      <t>not</t>
    </r>
    <r>
      <rPr>
        <sz val="8"/>
        <color theme="1"/>
        <rFont val="Calibri"/>
        <family val="2"/>
        <scheme val="minor"/>
      </rPr>
      <t xml:space="preserve"> eligible for financial incentives from the Ameren Illinois Energy Efficiency programs until one of the following conditions has been met: 1. An experienced professional contractor has remediated the mold and has attested to its remediation in writing. 2. An experienced professional contractor has determined that the substance is not mold and does not need to be remediated and has attested to this determination in writing.  Your experienced professional contractor must fill out and sign the statement below.  Due to the liability involved in signing such a statement, it is suggested you show or describe this form to your experienced professional contractor before hiring them to be sure that they are willing to sign it.  Any additions, deletions, or other alterations will render this form invalid.  For a mold-like substance less than 10 square feet, your home is </t>
    </r>
    <r>
      <rPr>
        <u/>
        <sz val="8"/>
        <color theme="1"/>
        <rFont val="Calibri"/>
        <family val="2"/>
        <scheme val="minor"/>
      </rPr>
      <t>not</t>
    </r>
    <r>
      <rPr>
        <sz val="8"/>
        <color theme="1"/>
        <rFont val="Calibri"/>
        <family val="2"/>
        <scheme val="minor"/>
      </rPr>
      <t xml:space="preserve"> eligible for financial incentives.  For more information please visit http://www.epa.gov/mold </t>
    </r>
  </si>
  <si>
    <t>The mold-like substance is greater than 10 square feet (professional remediation required)</t>
  </si>
  <si>
    <t>The mold-like substance is 10 square feet or less</t>
  </si>
  <si>
    <t xml:space="preserve">     STORAGE REMOVAL</t>
  </si>
  <si>
    <t>It has been determined your attic space would benefit from adding blown-in fiber insulation to your attic floor. The process of blowing in fibrous insulation in your attic will create dust which may accumulate on storage located in that area. Please take the necessary actions listed below before the insulation work commences:</t>
  </si>
  <si>
    <r>
      <rPr>
        <b/>
        <sz val="8"/>
        <color rgb="FF231F20"/>
        <rFont val="Calibri"/>
        <family val="2"/>
      </rPr>
      <t xml:space="preserve">Storage Removal: </t>
    </r>
    <r>
      <rPr>
        <sz val="8"/>
        <color rgb="FF231F20"/>
        <rFont val="Calibri"/>
        <family val="2"/>
      </rPr>
      <t>You must remove your storage and relocate it to a new permanent location, so that the entire attic area can be insulated and air sealed. You will not be left with a storage area after insulation work has been completed.</t>
    </r>
  </si>
  <si>
    <r>
      <rPr>
        <b/>
        <sz val="8"/>
        <color rgb="FF231F20"/>
        <rFont val="Calibri"/>
        <family val="2"/>
      </rPr>
      <t xml:space="preserve">Knee Wall Storage: </t>
    </r>
    <r>
      <rPr>
        <sz val="8"/>
        <color rgb="FF231F20"/>
        <rFont val="Calibri"/>
        <family val="2"/>
      </rPr>
      <t>You must temporarily relocate your storage so that the Program Ally has total access to this area to complete the recommended insulation upgrades. Your storage can later be put back into this area after the Program Ally has completed the work.</t>
    </r>
  </si>
  <si>
    <r>
      <rPr>
        <b/>
        <sz val="8"/>
        <color rgb="FF231F20"/>
        <rFont val="Calibri"/>
        <family val="2"/>
      </rPr>
      <t xml:space="preserve">Condense Storage: </t>
    </r>
    <r>
      <rPr>
        <sz val="8"/>
        <color rgb="FF231F20"/>
        <rFont val="Calibri"/>
        <family val="2"/>
      </rPr>
      <t xml:space="preserve">You must condense your storage to an area in the attic that has been determined by you and your Program Ally. This will allow for the entire attic to be insulated and/or air sealed, except for the area that you want to leave for your condensed storage. </t>
    </r>
    <r>
      <rPr>
        <i/>
        <sz val="8"/>
        <color rgb="FF231F20"/>
        <rFont val="Calibri"/>
        <family val="2"/>
      </rPr>
      <t>If you plan on leaving your condensed storage in the attic during the installation of the blown cellulose insulation, you will need to cover this storage if you don’t want dust to accumulate on your storage items.</t>
    </r>
  </si>
  <si>
    <r>
      <rPr>
        <b/>
        <sz val="8"/>
        <color rgb="FF231F20"/>
        <rFont val="Calibri"/>
        <family val="2"/>
      </rPr>
      <t xml:space="preserve">Platform Build Up: </t>
    </r>
    <r>
      <rPr>
        <sz val="8"/>
        <color rgb="FF231F20"/>
        <rFont val="Calibri"/>
        <family val="2"/>
      </rPr>
      <t>If you are interested in having your entire attic insulated and you still want to leave your storage in the attic, you can build a raised platform in your attic that will be higher than the insulation that will be blown. This will allow you put your storage back on top of the platform without compressing the insulation that would result in compromising the R-value of the new blown-in insulation.</t>
    </r>
  </si>
  <si>
    <t xml:space="preserve">     INTERIOR DENSE PACK "DRILL AND BLOW"</t>
  </si>
  <si>
    <t>It has been determined your home would benefit from having fiber insulation blown into your walls or “interior drill and blow." Interior drill and blow requires holes to be drilled from the inside of the living space and can be a very intrusive and dusty process. To ensure that this job goes smoothly, you (the homeowner) must ensure that all furniture and any clothing located in adjacent areas to the exterior walls (that are being treated) must be moved away from those walls and covered with plastic prior to commencement of the job for that day. Once the insulation is blown in, the contractor’s responsibility will be to plug the access holes and treat the surface with an initial application of spackle/filler. The homeowner is responsible for any additional work to the treated areas, including cleaning, dusting and painting to achieve the desired finished conditions unless other wise specified. Please sign below in recognition of having been fully informed of the work and possible inconvenience caused by the interior drill and blow process.</t>
  </si>
  <si>
    <t>By checking the box and signing below you acknowledge the disclaimers, as described above, exist in your home, you have been informed of the situation, and you agree to hold Ameren Illinois, and its subcontractors  harmless. Ameren Illinois expressly disclaims any and all warranties or representations of any kind, whether oral, statutory, expressed or implied, including without limitation warranties of suitability or fitness. This notice does not constitute an endorsement or warranty regarding the presence or absence of other real or potential health and safety hazards that may exist at this address or on the premises.</t>
  </si>
  <si>
    <r>
      <rPr>
        <b/>
        <sz val="8"/>
        <color rgb="FF231F20"/>
        <rFont val="Calibri"/>
        <family val="2"/>
      </rPr>
      <t xml:space="preserve">Special Note: </t>
    </r>
    <r>
      <rPr>
        <sz val="8"/>
        <color rgb="FF231F20"/>
        <rFont val="Calibri"/>
        <family val="2"/>
      </rPr>
      <t>Form must be submitted completely and accurately and must be approved prior to work beginning. If approval is not received prior to work beginning, the incentive will not be paid. The form should be emailed to: ResidentialEEApplications@ameren.com. The subject line and file name must read: Program Ally Name_Homeowner Last Name_Homeowner First Name_ Program Name (Ex: Insulators Inc_Jones_Mary). The reservation number will be emailed to you at the address listed above. The reservation number is not transferable and must be provided on all incentive forms. If the customer decides not to participate in the program, please email us immediately.</t>
    </r>
  </si>
  <si>
    <t xml:space="preserve">     KNOB AND TUBE REMEDIATION</t>
  </si>
  <si>
    <t xml:space="preserve">     Electrician's Printed Name:</t>
  </si>
  <si>
    <t>License #:</t>
  </si>
  <si>
    <t>I have performed an inspection of the home located at the below address and upon completion of my inspection, I have found that there is no active knob and tube wiring in the initialed area(s):</t>
  </si>
  <si>
    <t>Attic:</t>
  </si>
  <si>
    <t>Walls:</t>
  </si>
  <si>
    <t>Basement:</t>
  </si>
  <si>
    <t xml:space="preserve">     Signature of the Electrician:</t>
  </si>
  <si>
    <t xml:space="preserve">     MOLD REMEDIATION</t>
  </si>
  <si>
    <t xml:space="preserve">     Certified Remediation Company:</t>
  </si>
  <si>
    <t xml:space="preserve">     Inspecting Agent Printed Name:</t>
  </si>
  <si>
    <t>I have performed an inspection of the home located at the below address and upon completion of my inspection, I have found that all mold has been remediated.</t>
  </si>
  <si>
    <t xml:space="preserve">     Signature of Inspecting Agent:</t>
  </si>
  <si>
    <t xml:space="preserve">     AMEREN ILLINOIS RESIDENTIAL ENERGY EFFICIENCY PROGRAM TERMS AND CONDITIONS</t>
  </si>
  <si>
    <r>
      <rPr>
        <b/>
        <sz val="8"/>
        <color rgb="FF231F20"/>
        <rFont val="Calibri"/>
        <family val="2"/>
      </rPr>
      <t xml:space="preserve">2. General – </t>
    </r>
    <r>
      <rPr>
        <sz val="8"/>
        <color rgb="FF231F20"/>
        <rFont val="Calibri"/>
        <family val="2"/>
      </rPr>
      <t>Customer and Program Ally shall abide by these Terms and Conditions; abide by all Local, State and Federal guidelines, applicable laws, building codes, regulations and licensing requirements; and perform work in accordance with customary installation standards, and/or according to manufacturer specifications.</t>
    </r>
  </si>
  <si>
    <r>
      <rPr>
        <b/>
        <sz val="8"/>
        <color rgb="FF231F20"/>
        <rFont val="Calibri"/>
        <family val="2"/>
      </rPr>
      <t xml:space="preserve">3. Procedures &amp; Reporting – </t>
    </r>
    <r>
      <rPr>
        <sz val="8"/>
        <color rgb="FF231F20"/>
        <rFont val="Calibri"/>
        <family val="2"/>
      </rPr>
      <t xml:space="preserve">Program Ally shall follow Program procedures of; </t>
    </r>
    <r>
      <rPr>
        <b/>
        <sz val="8"/>
        <color rgb="FF231F20"/>
        <rFont val="Calibri"/>
        <family val="2"/>
      </rPr>
      <t xml:space="preserve">a) </t>
    </r>
    <r>
      <rPr>
        <sz val="8"/>
        <color rgb="FF231F20"/>
        <rFont val="Calibri"/>
        <family val="2"/>
      </rPr>
      <t xml:space="preserve">verifying eligibility of Customer and work to be performed; </t>
    </r>
    <r>
      <rPr>
        <b/>
        <sz val="8"/>
        <color rgb="FF231F20"/>
        <rFont val="Calibri"/>
        <family val="2"/>
      </rPr>
      <t xml:space="preserve">b) </t>
    </r>
    <r>
      <rPr>
        <sz val="8"/>
        <color rgb="FF231F20"/>
        <rFont val="Calibri"/>
        <family val="2"/>
      </rPr>
      <t xml:space="preserve">reserving funds from Program in advance of the project commencing; and, </t>
    </r>
    <r>
      <rPr>
        <b/>
        <sz val="8"/>
        <color rgb="FF231F20"/>
        <rFont val="Calibri"/>
        <family val="2"/>
      </rPr>
      <t xml:space="preserve">c) </t>
    </r>
    <r>
      <rPr>
        <sz val="8"/>
        <color rgb="FF231F20"/>
        <rFont val="Calibri"/>
        <family val="2"/>
      </rPr>
      <t>submitting a reservation form and/or Application supplied by the Program for work performed with all required documentation. Program Ally agrees to provide all documentation associated with specified projects for quality assurance. Program Ally must provide necessary supporting documentation of services rendered including invoices and site assessment reports as requested.</t>
    </r>
  </si>
  <si>
    <r>
      <rPr>
        <b/>
        <sz val="8"/>
        <color rgb="FF231F20"/>
        <rFont val="Calibri"/>
        <family val="2"/>
      </rPr>
      <t xml:space="preserve">4. Independent Contractor – </t>
    </r>
    <r>
      <rPr>
        <sz val="8"/>
        <color rgb="FF231F20"/>
        <rFont val="Calibri"/>
        <family val="2"/>
      </rPr>
      <t>Listing in the Program Ally database does not constitute any endorsement of the Program Ally by Ameren Illinois. Program Ally is an independent contractor participating in the Program and not an employee of, or under contract to, Ameren Illinois or Program staff and authorized Ameren Representatives. Program Ally is not authorized to assume or create any obligation or liabilities, express or implied, on behalf of or in the name of Ameren Illinois or Program staff and authorized Ameren Representatives. Program Ally shall properly represent this to the Customers.</t>
    </r>
  </si>
  <si>
    <r>
      <rPr>
        <b/>
        <sz val="8"/>
        <color rgb="FF231F20"/>
        <rFont val="Calibri"/>
        <family val="2"/>
      </rPr>
      <t xml:space="preserve">5. Warranty of Work – </t>
    </r>
    <r>
      <rPr>
        <sz val="8"/>
        <color rgb="FF231F20"/>
        <rFont val="Calibri"/>
        <family val="2"/>
      </rPr>
      <t>Program Ally shall provide the Customer a written warranty covering both labor and materials for a minimum of one year from the date the service is performed. All materials installed shall carry the manufacturer’s warranty, which will be provided to the Customer. Offers of, and documentation referring to, any applicable extended warranty coverage shall be supplied to the Customer.</t>
    </r>
  </si>
  <si>
    <r>
      <rPr>
        <b/>
        <sz val="8"/>
        <color rgb="FF231F20"/>
        <rFont val="Calibri"/>
        <family val="2"/>
      </rPr>
      <t xml:space="preserve">6. Quality Assurance – </t>
    </r>
    <r>
      <rPr>
        <sz val="8"/>
        <color rgb="FF231F20"/>
        <rFont val="Calibri"/>
        <family val="2"/>
      </rPr>
      <t>Program Ally will maintain effective procedures for quality assurance as for resolution of Customer complaints or disputes and for response to Customer emergencies. Program Ally agrees to make its quality assurance procedures available to the Program for review and upon request. Only trained and skilled personnel of Program Ally shall supervise any project performed under the Program. All work is subject to quality assurance and verification inspections by Program before incentive payments are paid. Ameren Illinois is the sole authority in determining that the work is complete and eligible for payment. If the applicable Program Manager determines Program Ally’s work is not up to Program standards, upon request from the Program Representative, Program Ally shall make reasonable repairs or corrections to bring such work up to Program standards at no additional cost to the Customer. Program Manager shall have sole authority in determining the necessary remedies to correct faulty work.</t>
    </r>
  </si>
  <si>
    <r>
      <rPr>
        <b/>
        <sz val="8"/>
        <color rgb="FF231F20"/>
        <rFont val="Calibri"/>
        <family val="2"/>
      </rPr>
      <t xml:space="preserve">7. Pre and Post Installation Verification – </t>
    </r>
    <r>
      <rPr>
        <sz val="8"/>
        <color rgb="FF231F20"/>
        <rFont val="Calibri"/>
        <family val="2"/>
      </rPr>
      <t>Ameren Illinois is not obligated to make any incentive payment until it has performed a satisfactory post-installation verification. This provision may be waived at the sole discretion of Ameren Illinois. Inspections conducted are solely for the purpose of determining Program compliance and are not safety or building code inspections.</t>
    </r>
  </si>
  <si>
    <r>
      <rPr>
        <b/>
        <sz val="8"/>
        <color rgb="FF231F20"/>
        <rFont val="Calibri"/>
        <family val="2"/>
      </rPr>
      <t xml:space="preserve">8. Incentive Payments/Limits – </t>
    </r>
    <r>
      <rPr>
        <sz val="8"/>
        <color rgb="FF231F20"/>
        <rFont val="Calibri"/>
        <family val="2"/>
      </rPr>
      <t>For all Applications, Ameren Illinois is not obligated to award any incentive payment unless a reservation form and/or Application is submitted and granted. Customer and Program Ally are responsible for ensuring the Application is accurate and equipment meets eligibility requirements in order to receive the Pre-approval incentive payment. Incentive payments will be issued to Program Ally. The Program Ally shall inform Customer of Program financial incentives, and shall include a discount to the Customer in the amount of the incentive, labeled on Customer’s invoice as “Ameren Illinois Energy Efficiency Program Incentive.”</t>
    </r>
  </si>
  <si>
    <r>
      <rPr>
        <b/>
        <sz val="8"/>
        <color rgb="FF231F20"/>
        <rFont val="Calibri"/>
        <family val="2"/>
      </rPr>
      <t xml:space="preserve">10. Changes In/Cancellation of the Program </t>
    </r>
    <r>
      <rPr>
        <sz val="8"/>
        <color rgb="FF231F20"/>
        <rFont val="Calibri"/>
        <family val="2"/>
      </rPr>
      <t xml:space="preserve">– </t>
    </r>
    <r>
      <rPr>
        <b/>
        <sz val="8"/>
        <color rgb="FF231F20"/>
        <rFont val="Calibri"/>
        <family val="2"/>
      </rPr>
      <t xml:space="preserve">a) </t>
    </r>
    <r>
      <rPr>
        <sz val="8"/>
        <color rgb="FF231F20"/>
        <rFont val="Calibri"/>
        <family val="2"/>
      </rPr>
      <t xml:space="preserve">Ameren Illinois may change the program requirements, incentives, or these Terms &amp; Conditions at any time without notice, including suspending acceptance of Applications, denial of Applications already received, or terminating the Program. </t>
    </r>
    <r>
      <rPr>
        <b/>
        <sz val="8"/>
        <color rgb="FF231F20"/>
        <rFont val="Calibri"/>
        <family val="2"/>
      </rPr>
      <t xml:space="preserve">b) </t>
    </r>
    <r>
      <rPr>
        <sz val="8"/>
        <color rgb="FF231F20"/>
        <rFont val="Calibri"/>
        <family val="2"/>
      </rPr>
      <t>In the event of a program change, Applications that have been granted Pre-approval will be processed to completion under the Terms &amp; Conditions in effect at the time of Pre-approval by Ameren Illinois. c) Cash incentives under the Ameren Illinois Program are offered on a first-come, first-served basis and are subject to project and Customer eligibility, and the availability of funds.</t>
    </r>
  </si>
  <si>
    <r>
      <rPr>
        <b/>
        <sz val="8"/>
        <color rgb="FF231F20"/>
        <rFont val="Calibri"/>
        <family val="2"/>
      </rPr>
      <t xml:space="preserve">11. Miscellaneous – </t>
    </r>
    <r>
      <rPr>
        <sz val="8"/>
        <color rgb="FF231F20"/>
        <rFont val="Calibri"/>
        <family val="2"/>
      </rPr>
      <t>Ameren Illinois reserves the right to make changes to; its Program, program incentives, rules, guidelines, and these Terms and Conditions upon written notice to the Program Ally. These Terms and Conditions shall be governed by Illinois law.</t>
    </r>
  </si>
  <si>
    <t>updated 09Jan2023</t>
  </si>
  <si>
    <t>Energy Audit Diagnostic Test Form</t>
  </si>
  <si>
    <t>Section 1:  Project Identification</t>
  </si>
  <si>
    <t>Pre-Test Date:</t>
  </si>
  <si>
    <t>Post-Test Date:</t>
  </si>
  <si>
    <t>Program Ally Company Name:</t>
  </si>
  <si>
    <t>BPI-Certified Tester Name:</t>
  </si>
  <si>
    <t>Was combustion safety testing required for this home?  Y / N:</t>
  </si>
  <si>
    <t xml:space="preserve">    If not, sections 3, 4, and 5 of this form may be left blank</t>
  </si>
  <si>
    <r>
      <t xml:space="preserve">Section 2:  Fuel Distribution System Inspection </t>
    </r>
    <r>
      <rPr>
        <b/>
        <sz val="8"/>
        <color theme="0"/>
        <rFont val="Calibri"/>
        <family val="2"/>
        <scheme val="minor"/>
      </rPr>
      <t>(always required when fuel lines exist in the residence)</t>
    </r>
  </si>
  <si>
    <t>Reference</t>
  </si>
  <si>
    <t>Selected Inspection Item</t>
  </si>
  <si>
    <t>Pre-Test Y/N</t>
  </si>
  <si>
    <t>Post-Test Y/N</t>
  </si>
  <si>
    <t>Actions levels for house ambient CO                                             BPI-1200 7.3.3.3</t>
  </si>
  <si>
    <t>Conditions for entry</t>
  </si>
  <si>
    <t>House ambient combustible fuel gas &gt; 10% LEL</t>
  </si>
  <si>
    <t>If ambient CO is 70 PPM or greater</t>
  </si>
  <si>
    <t>BPI-1200 7.3</t>
  </si>
  <si>
    <t>House ambient CO level (PPM)</t>
  </si>
  <si>
    <t xml:space="preserve"> - Terminate the inspection</t>
  </si>
  <si>
    <t>Natural gas and LP gas piping system inspection and leak testing</t>
  </si>
  <si>
    <t>Gas leak testing completed</t>
  </si>
  <si>
    <t xml:space="preserve"> - Notify occupants to evacuate</t>
  </si>
  <si>
    <t>Gas leak(s) found</t>
  </si>
  <si>
    <t xml:space="preserve"> - Notify emergency services from outside</t>
  </si>
  <si>
    <t>Gas lines or connectors unsafe or uncoated brass</t>
  </si>
  <si>
    <t>If ambient CO is 36-69 PPM</t>
  </si>
  <si>
    <t>BPI-1200 7.5</t>
  </si>
  <si>
    <t>Visibly worn flex gas line or pre-1973</t>
  </si>
  <si>
    <t xml:space="preserve"> - Advise the homeowner of elevated level</t>
  </si>
  <si>
    <t>Section 3:  Combustion Appliance Inspection</t>
  </si>
  <si>
    <t xml:space="preserve"> - Open doors and windows</t>
  </si>
  <si>
    <t>Visual inspection of CAZ</t>
  </si>
  <si>
    <t>CAZ clear of flammable products</t>
  </si>
  <si>
    <t xml:space="preserve"> - Recommend CO sources be turned off</t>
  </si>
  <si>
    <t>Vent connectors clearance from combustibles</t>
  </si>
  <si>
    <t xml:space="preserve"> - Advise homeowner contact qual. professional</t>
  </si>
  <si>
    <t>BPI-1200 7.7</t>
  </si>
  <si>
    <r>
      <t>Garage DHW FVIR or 18</t>
    </r>
    <r>
      <rPr>
        <sz val="8"/>
        <rFont val="Calibri"/>
        <family val="2"/>
      </rPr>
      <t>”</t>
    </r>
    <r>
      <rPr>
        <sz val="8"/>
        <rFont val="Calibri"/>
        <family val="2"/>
        <scheme val="minor"/>
      </rPr>
      <t xml:space="preserve"> off floor (Y/N/NA)</t>
    </r>
  </si>
  <si>
    <t>If ambient CO is 9-35 PPM</t>
  </si>
  <si>
    <t>Visual inspection of combustion appliances and venting systems                                  BPI-1200 7.8</t>
  </si>
  <si>
    <t>Venting system 1/4" rise per foot</t>
  </si>
  <si>
    <t>Masonry chimney lined (Y/N/NA)</t>
  </si>
  <si>
    <t xml:space="preserve"> - Recommend open doors and windows</t>
  </si>
  <si>
    <t>Lower BTU appliance enters main flue after higher BTU appliance (Y/N/NA)</t>
  </si>
  <si>
    <t xml:space="preserve"> - Recommend CO sources be checked</t>
  </si>
  <si>
    <t>Unvented heater ANSI Z21.11.2  label (Y/N/NA)</t>
  </si>
  <si>
    <r>
      <t xml:space="preserve">If ambient CO &lt; 9 PPM </t>
    </r>
    <r>
      <rPr>
        <sz val="8"/>
        <rFont val="Calibri"/>
        <family val="2"/>
        <scheme val="minor"/>
      </rPr>
      <t>then no action is required</t>
    </r>
  </si>
  <si>
    <t>Action if house ambient combustible fuel gas is &gt; 10% LEL:</t>
  </si>
  <si>
    <t>Terminate inspection, notify to evacuate, notify emergency services from outside</t>
  </si>
  <si>
    <t>Minimum clearance of vent connectors from combustibles BPI-1200 Table E2:</t>
  </si>
  <si>
    <t>B Vent - 6 in</t>
  </si>
  <si>
    <t>L Vent - 6 in</t>
  </si>
  <si>
    <t>Single wall metal pipe - 9 in</t>
  </si>
  <si>
    <t>If any portion of the combustion appliance and fuel distribution system inspection did not meet BPI-1200 standards, describe actions taken:</t>
  </si>
  <si>
    <t>Section 4:  Establishment of Greatest Possible Depressurization CAZ Conditions BPI-1200 7.9.1</t>
  </si>
  <si>
    <t>Number of Combustion Appliance Zones for this test:</t>
  </si>
  <si>
    <t>CAZ #1 Pre</t>
  </si>
  <si>
    <t>&gt; 70?        Y / N</t>
  </si>
  <si>
    <t>CAZ #1 Post</t>
  </si>
  <si>
    <t>CAZ #2 Pre</t>
  </si>
  <si>
    <t>CAZ #2 Post</t>
  </si>
  <si>
    <t>Combustion Appliance Zone ambient CO level</t>
  </si>
  <si>
    <r>
      <rPr>
        <sz val="7.5"/>
        <color theme="1"/>
        <rFont val="Calibri"/>
        <family val="2"/>
        <scheme val="minor"/>
      </rPr>
      <t>Baseline pressure</t>
    </r>
    <r>
      <rPr>
        <sz val="8"/>
        <color theme="1"/>
        <rFont val="Calibri"/>
        <family val="2"/>
        <scheme val="minor"/>
      </rPr>
      <t xml:space="preserve"> </t>
    </r>
    <r>
      <rPr>
        <sz val="5.5"/>
        <color theme="1"/>
        <rFont val="Calibri"/>
        <family val="2"/>
        <scheme val="minor"/>
      </rPr>
      <t>(interior doors closed except rooms with exhaust fans or returns to central air)</t>
    </r>
  </si>
  <si>
    <t>Pressure with exhaust equipment on</t>
  </si>
  <si>
    <t>Pressure with air handler on</t>
  </si>
  <si>
    <t xml:space="preserve">Pressure with air handler turned either on or off and CAZ doors open </t>
  </si>
  <si>
    <t>Greatest Possible Depressurization</t>
  </si>
  <si>
    <r>
      <t xml:space="preserve">General Inquiries: </t>
    </r>
    <r>
      <rPr>
        <sz val="7.5"/>
        <rFont val="Arial"/>
        <family val="2"/>
      </rPr>
      <t>Ameren Illinois Residential Energy Efficiency Programs • PO Box 5098, Peoria, IL 61601-9998</t>
    </r>
  </si>
  <si>
    <t>For more information contact your Field Energy Specialist • Fax: 309.677.3370 • AmerenIllinoisSavings.com</t>
  </si>
  <si>
    <t>HEP-1004-1119</t>
  </si>
  <si>
    <t>Homeowner Name:</t>
  </si>
  <si>
    <t>Section 5:  Combustion Appliance Zone (CAZ) Spillage and CO Testing BPI-1200 7.9.2 thru 4</t>
  </si>
  <si>
    <t>Under BPI Greatest Possible Depressurization Conditions</t>
  </si>
  <si>
    <t>Spillage test</t>
  </si>
  <si>
    <t>CO pre-test (PPM)</t>
  </si>
  <si>
    <t>CO post-test (PPM)</t>
  </si>
  <si>
    <t>Common     Vent</t>
  </si>
  <si>
    <t>CAZ #</t>
  </si>
  <si>
    <t>(P / F)</t>
  </si>
  <si>
    <t>CO</t>
  </si>
  <si>
    <t>O2</t>
  </si>
  <si>
    <t>CO Air-Free</t>
  </si>
  <si>
    <t>Thresh</t>
  </si>
  <si>
    <t>Pre</t>
  </si>
  <si>
    <t>Post</t>
  </si>
  <si>
    <t>Meas</t>
  </si>
  <si>
    <t>Calc</t>
  </si>
  <si>
    <t>-hold</t>
  </si>
  <si>
    <t>A / U</t>
  </si>
  <si>
    <t>DHW</t>
  </si>
  <si>
    <t>Heat</t>
  </si>
  <si>
    <t>Oven</t>
  </si>
  <si>
    <t>Actions For Failed CAZ Tests</t>
  </si>
  <si>
    <t>If any appliance failed spillage or tested unacceptable for CO, or if ambient CO level in CAZ became elevated, state actions taken:</t>
  </si>
  <si>
    <t>Spillage and carbon monoxide in combustion appliances BPI-1200 Annex D</t>
  </si>
  <si>
    <t>For single DHW or warm vent appliance, spillage assessed at 2 minutes of main burner operation and CO air free at 5 minutes</t>
  </si>
  <si>
    <t>For single cold vent appliance (except DHW), spillage and CO air free are both assessed at 5 minutes of main burner operation</t>
  </si>
  <si>
    <t>For commonly vented appliances, smallest BTU first, spillage at 2 mins, CO air free at 5 mins, do not allow to cool, fire second appliance, re-assess first appliance for spillage at 2 mins, immediately assess second appliance for spillage, assess second appliance for CO air free at 5 mins</t>
  </si>
  <si>
    <t xml:space="preserve">CO above threshold limit is unacceptable, advise homeowner the appliance should be serviced immediately by a qualified professional  </t>
  </si>
  <si>
    <t>If CO level is unacceptable and spillage is not present, testing may continue at discretion of tester</t>
  </si>
  <si>
    <t>Carbon monoxide threshold limits BPI-1200 7.9.5 Table 1</t>
  </si>
  <si>
    <t xml:space="preserve">Illinois Weather &amp; Shielding Factors          </t>
  </si>
  <si>
    <t>Story Factors (S)             BPI-1200 Annex I.1.4</t>
  </si>
  <si>
    <t>Appliance</t>
  </si>
  <si>
    <t>CO Threshold Limit</t>
  </si>
  <si>
    <t>(wsf) ASHRAE 62.2-2016 App B</t>
  </si>
  <si>
    <t>Central Furnace (all categories)</t>
  </si>
  <si>
    <t>400 ppm air free</t>
  </si>
  <si>
    <t>Mount Vernon</t>
  </si>
  <si>
    <t>Stories Above Grade</t>
  </si>
  <si>
    <t>Factor</t>
  </si>
  <si>
    <t>Marion</t>
  </si>
  <si>
    <t>Floor Furnace</t>
  </si>
  <si>
    <t>Belleville Scott AFB</t>
  </si>
  <si>
    <t>Gravity Furnace</t>
  </si>
  <si>
    <t>Quincy</t>
  </si>
  <si>
    <t>Wall Furnace (BIV)</t>
  </si>
  <si>
    <t>200 ppm air free</t>
  </si>
  <si>
    <t>Sterling / Rock Falls</t>
  </si>
  <si>
    <t>Wall Furnace (Direct Vent)</t>
  </si>
  <si>
    <t>Peoria</t>
  </si>
  <si>
    <t>Vented Room Heater</t>
  </si>
  <si>
    <t>Decatur</t>
  </si>
  <si>
    <t>Unvented Room Heater</t>
  </si>
  <si>
    <t>Chicago Midway</t>
  </si>
  <si>
    <t>Water Heater</t>
  </si>
  <si>
    <t xml:space="preserve">Springfield </t>
  </si>
  <si>
    <t>Oven/Broiler</t>
  </si>
  <si>
    <t>225 ppm as measured</t>
  </si>
  <si>
    <t>Urbana Champaign</t>
  </si>
  <si>
    <t>Clothes Dryer</t>
  </si>
  <si>
    <t>Aurora</t>
  </si>
  <si>
    <t>Refrigerator</t>
  </si>
  <si>
    <t>25 ppm as measured</t>
  </si>
  <si>
    <t>Rockford</t>
  </si>
  <si>
    <t>Gas Log (gas fireplace)</t>
  </si>
  <si>
    <t>25 ppm as measured in vent</t>
  </si>
  <si>
    <t>Moline / Quad Cities</t>
  </si>
  <si>
    <t>Gas Log (installed in wood burning fireplace)</t>
  </si>
  <si>
    <t>400 ppm air free in fire box</t>
  </si>
  <si>
    <t>W Chicago / Du Page</t>
  </si>
  <si>
    <t>Chicago / Waukegan</t>
  </si>
  <si>
    <t>Chicago O'Hare</t>
  </si>
  <si>
    <t>Bloomington / Normal</t>
  </si>
  <si>
    <t>Section 6:  Blower Door Test</t>
  </si>
  <si>
    <r>
      <t>Initial blower door measurement Q</t>
    </r>
    <r>
      <rPr>
        <vertAlign val="subscript"/>
        <sz val="8"/>
        <color theme="1"/>
        <rFont val="Calibri"/>
        <family val="2"/>
        <scheme val="minor"/>
      </rPr>
      <t>50</t>
    </r>
    <r>
      <rPr>
        <sz val="8"/>
        <color theme="1"/>
        <rFont val="Calibri"/>
        <family val="2"/>
        <scheme val="minor"/>
      </rPr>
      <t>:</t>
    </r>
  </si>
  <si>
    <r>
      <t>T</t>
    </r>
    <r>
      <rPr>
        <vertAlign val="subscript"/>
        <sz val="8"/>
        <color theme="1"/>
        <rFont val="Calibri"/>
        <family val="2"/>
        <scheme val="minor"/>
      </rPr>
      <t>out</t>
    </r>
    <r>
      <rPr>
        <sz val="8"/>
        <color theme="1"/>
        <rFont val="Calibri"/>
        <family val="2"/>
        <scheme val="minor"/>
      </rPr>
      <t>:</t>
    </r>
  </si>
  <si>
    <r>
      <t>Final blower door measurement Q</t>
    </r>
    <r>
      <rPr>
        <vertAlign val="subscript"/>
        <sz val="8"/>
        <color theme="1"/>
        <rFont val="Calibri"/>
        <family val="2"/>
        <scheme val="minor"/>
      </rPr>
      <t>50</t>
    </r>
    <r>
      <rPr>
        <sz val="8"/>
        <color theme="1"/>
        <rFont val="Calibri"/>
        <family val="2"/>
        <scheme val="minor"/>
      </rPr>
      <t>:</t>
    </r>
  </si>
  <si>
    <t>Section 7:  Floor Area</t>
  </si>
  <si>
    <t>ASHRAE 62.2-2016 defines floor area:  all above and below grade finished areas as defined in ANSI Standard Z765.  ANSI Z765 defines finished area:  an enclosed area in a house that is suitable for year-round use, embodying walls, floors, and ceilings that are similar to the rest of the house.</t>
  </si>
  <si>
    <t>Floor area in square feet:</t>
  </si>
  <si>
    <t>Stories:</t>
  </si>
  <si>
    <t>Number of bedrooms:</t>
  </si>
  <si>
    <t>Section 8:  Ventilation Requirements Pre-Test (ASHRAE 62.2-2016)</t>
  </si>
  <si>
    <t>Local demand-controlled ventilation</t>
  </si>
  <si>
    <t>Required</t>
  </si>
  <si>
    <t>Measured or Assume Zero</t>
  </si>
  <si>
    <t>Shortfall</t>
  </si>
  <si>
    <t>Window Credit           20 CFM   (Y / N)</t>
  </si>
  <si>
    <t>Deficit</t>
  </si>
  <si>
    <t>Bathroom #1 demand-controlled flow rate (CFM):</t>
  </si>
  <si>
    <t>Bathroom #2 demand-controlled flow rate (CFM):</t>
  </si>
  <si>
    <t>Bathroom #3 demand-controlled flow rate (CFM):</t>
  </si>
  <si>
    <t>Bathroom #4 demand-controlled flow rate (CFM):</t>
  </si>
  <si>
    <t>Half-Bathroom #5 demand-controlled flow rate (CFM):</t>
  </si>
  <si>
    <t>Kitchen #1 demand-controlled flow rate (CFM):</t>
  </si>
  <si>
    <t>Kitchen #2 demand-controlled flow rate (CFM):</t>
  </si>
  <si>
    <t>Note:  If the flow through an operating, vented, kitchen exhaust fan or bathroom exhaust fan cannot be measured, then assume zero CFM.  ASHRAE 62.2-2016 Appendix A3.1</t>
  </si>
  <si>
    <t>Total local deficit:</t>
  </si>
  <si>
    <t>Is whole-building mechanical ventilation required?</t>
  </si>
  <si>
    <t>Weather and shielding factor (wsf):</t>
  </si>
  <si>
    <t>Story factor (S):</t>
  </si>
  <si>
    <r>
      <t>Required whole-house ventilation rate   Q</t>
    </r>
    <r>
      <rPr>
        <vertAlign val="subscript"/>
        <sz val="8"/>
        <color theme="1"/>
        <rFont val="Calibri"/>
        <family val="2"/>
        <scheme val="minor"/>
      </rPr>
      <t>tot</t>
    </r>
    <r>
      <rPr>
        <sz val="8"/>
        <color theme="1"/>
        <rFont val="Calibri"/>
        <family val="2"/>
        <scheme val="minor"/>
      </rPr>
      <t xml:space="preserve"> = (.03 x floor area) + (7.5 x (# of bedrooms +1)): </t>
    </r>
  </si>
  <si>
    <t>Alternative compliance supplement (total local deficit / 4):</t>
  </si>
  <si>
    <r>
      <t>Adjusted Q</t>
    </r>
    <r>
      <rPr>
        <vertAlign val="subscript"/>
        <sz val="8"/>
        <color theme="1"/>
        <rFont val="Calibri"/>
        <family val="2"/>
        <scheme val="minor"/>
      </rPr>
      <t xml:space="preserve">tot </t>
    </r>
    <r>
      <rPr>
        <sz val="8"/>
        <color theme="1"/>
        <rFont val="Calibri"/>
        <family val="2"/>
        <scheme val="minor"/>
      </rPr>
      <t>for alternative compliance supplement:</t>
    </r>
  </si>
  <si>
    <r>
      <t>Note:  if Q</t>
    </r>
    <r>
      <rPr>
        <vertAlign val="subscript"/>
        <sz val="8"/>
        <color theme="1"/>
        <rFont val="Calibri"/>
        <family val="2"/>
        <scheme val="minor"/>
      </rPr>
      <t>fan</t>
    </r>
    <r>
      <rPr>
        <sz val="8"/>
        <color theme="1"/>
        <rFont val="Calibri"/>
        <family val="2"/>
        <scheme val="minor"/>
      </rPr>
      <t xml:space="preserve"> </t>
    </r>
    <r>
      <rPr>
        <sz val="8"/>
        <color theme="1"/>
        <rFont val="Calibri"/>
        <family val="2"/>
      </rPr>
      <t>≤</t>
    </r>
    <r>
      <rPr>
        <sz val="8"/>
        <color theme="1"/>
        <rFont val="Calibri"/>
        <family val="2"/>
        <scheme val="minor"/>
      </rPr>
      <t xml:space="preserve"> 15 CFM then no additional whole-building mechanical ventilation is required</t>
    </r>
  </si>
  <si>
    <r>
      <t>Infiltration credit for blower door measurement   Q</t>
    </r>
    <r>
      <rPr>
        <vertAlign val="subscript"/>
        <sz val="8"/>
        <color theme="1"/>
        <rFont val="Calibri"/>
        <family val="2"/>
        <scheme val="minor"/>
      </rPr>
      <t>inf</t>
    </r>
    <r>
      <rPr>
        <sz val="8"/>
        <color theme="1"/>
        <rFont val="Calibri"/>
        <family val="2"/>
        <scheme val="minor"/>
      </rPr>
      <t xml:space="preserve"> = Q</t>
    </r>
    <r>
      <rPr>
        <vertAlign val="subscript"/>
        <sz val="8"/>
        <color theme="1"/>
        <rFont val="Calibri"/>
        <family val="2"/>
        <scheme val="minor"/>
      </rPr>
      <t>50</t>
    </r>
    <r>
      <rPr>
        <sz val="8"/>
        <color theme="1"/>
        <rFont val="Calibri"/>
        <family val="2"/>
        <scheme val="minor"/>
      </rPr>
      <t xml:space="preserve"> x S x wsf x .052:</t>
    </r>
  </si>
  <si>
    <r>
      <t>Required whole-house mechanical ventilation rate   Q</t>
    </r>
    <r>
      <rPr>
        <vertAlign val="subscript"/>
        <sz val="8"/>
        <color theme="1"/>
        <rFont val="Calibri"/>
        <family val="2"/>
        <scheme val="minor"/>
      </rPr>
      <t>fan</t>
    </r>
    <r>
      <rPr>
        <sz val="8"/>
        <color theme="1"/>
        <rFont val="Calibri"/>
        <family val="2"/>
        <scheme val="minor"/>
      </rPr>
      <t xml:space="preserve"> = Adjusted Q</t>
    </r>
    <r>
      <rPr>
        <vertAlign val="subscript"/>
        <sz val="8"/>
        <color theme="1"/>
        <rFont val="Calibri"/>
        <family val="2"/>
        <scheme val="minor"/>
      </rPr>
      <t>tot</t>
    </r>
    <r>
      <rPr>
        <sz val="8"/>
        <color theme="1"/>
        <rFont val="Calibri"/>
        <family val="2"/>
        <scheme val="minor"/>
      </rPr>
      <t xml:space="preserve"> - Q</t>
    </r>
    <r>
      <rPr>
        <vertAlign val="subscript"/>
        <sz val="8"/>
        <color theme="1"/>
        <rFont val="Calibri"/>
        <family val="2"/>
        <scheme val="minor"/>
      </rPr>
      <t>inf</t>
    </r>
    <r>
      <rPr>
        <sz val="8"/>
        <color theme="1"/>
        <rFont val="Calibri"/>
        <family val="2"/>
        <scheme val="minor"/>
      </rPr>
      <t>:</t>
    </r>
  </si>
  <si>
    <t>Section 9:  Ventilation Requirements Post-Test (ASHRAE 62.2-2016)</t>
  </si>
  <si>
    <t>Alt Comp (Y)</t>
  </si>
  <si>
    <t>Describe the strategy used to make any corrections to local exhaust deficits and/or required whole-building mechanical ventilation:</t>
  </si>
  <si>
    <t>Installed Whole-Building Mechanical Ventilation</t>
  </si>
  <si>
    <t>Measured Continuous Ventilation Rate:</t>
  </si>
  <si>
    <t>Timer Set point (minutes/hour):</t>
  </si>
  <si>
    <t>edited 11-3-21</t>
  </si>
  <si>
    <t xml:space="preserve">Please complete the Energy Audit Inpsection Disclaimers form, provide a copy to the customer, and include in the reservation submittal. </t>
  </si>
  <si>
    <t>Project Number:</t>
  </si>
  <si>
    <t>Assessment Date:</t>
  </si>
  <si>
    <t xml:space="preserve">    SECTION 2.1: INSPECTION INFORMATION (Check all applicable areas)</t>
  </si>
  <si>
    <t xml:space="preserve">    SECTION 1: PROJECT INFORMATION</t>
  </si>
  <si>
    <t xml:space="preserve">    SECTION 2.2: INSPECTION INFORMATION (Check all applicable areas)</t>
  </si>
  <si>
    <t xml:space="preserve">    SECTION 2.3: INSPECTION INFORMATION (Check all applicable areas)</t>
  </si>
  <si>
    <t xml:space="preserve">    SECTION 3: PROOF OF REMEDIATION</t>
  </si>
  <si>
    <t>Please complete all required information and submit this form as an attachment to the Reservation and Incentive Application.</t>
  </si>
  <si>
    <t>Ameren Illinois Energy Efficiency Program</t>
  </si>
  <si>
    <t/>
  </si>
  <si>
    <t>Ally Project Notes</t>
  </si>
  <si>
    <r>
      <rPr>
        <b/>
        <sz val="11"/>
        <color rgb="FFFF0000"/>
        <rFont val="Calibri"/>
        <family val="2"/>
        <scheme val="minor"/>
      </rPr>
      <t>**</t>
    </r>
    <r>
      <rPr>
        <sz val="11"/>
        <color theme="1"/>
        <rFont val="Calibri"/>
        <family val="2"/>
        <scheme val="minor"/>
      </rPr>
      <t xml:space="preserve"> if no information provided, enter defaults if Furnace/Boiler or CAC/ASHP</t>
    </r>
  </si>
  <si>
    <t>A. Information entered on this tab will populate fields on all other tabs.</t>
  </si>
  <si>
    <t xml:space="preserve">B. Check Gas Account/Electric Account depending on the account details. </t>
  </si>
  <si>
    <t>1. Begin by completing Sections 1-4 on the Project Information tab and enter all fields highlighted in yellow.</t>
  </si>
  <si>
    <t xml:space="preserve"> Customer Printed Name: </t>
  </si>
  <si>
    <t>Reference the Available Residential Measures Guide for specifications for program measures.</t>
  </si>
  <si>
    <t xml:space="preserve">  Household member is age 60 or older, disabled, expectant mother, or child under 6.</t>
  </si>
  <si>
    <t>per LF</t>
  </si>
  <si>
    <r>
      <rPr>
        <b/>
        <sz val="10"/>
        <color rgb="FF439539"/>
        <rFont val="Calibri"/>
        <family val="2"/>
      </rPr>
      <t>*</t>
    </r>
    <r>
      <rPr>
        <b/>
        <sz val="10"/>
        <color rgb="FF439539"/>
        <rFont val="Calibri"/>
        <family val="2"/>
        <scheme val="minor"/>
      </rPr>
      <t>Score of 1 or less - great project, likely to be approved without further clarifications needed</t>
    </r>
  </si>
  <si>
    <t>2. On the Work Scope tab, enter ally assigned, measure quantity, cost, and details. All fields must be entered for each measure.</t>
  </si>
  <si>
    <t xml:space="preserve">D. Any notes regarding the home, measures, additional energy efficiency costs, or health and safety costs explanations should be </t>
  </si>
  <si>
    <t xml:space="preserve">     entered in Section 4, Project Notes.</t>
  </si>
  <si>
    <t>Wall Height
Above Ground</t>
  </si>
  <si>
    <t>Wall Height
Below Ground</t>
  </si>
  <si>
    <r>
      <rPr>
        <b/>
        <sz val="10"/>
        <color theme="1"/>
        <rFont val="Calibri"/>
        <family val="2"/>
        <scheme val="minor"/>
      </rPr>
      <t>Tip 4:</t>
    </r>
    <r>
      <rPr>
        <sz val="10"/>
        <color theme="1"/>
        <rFont val="Calibri"/>
        <family val="2"/>
        <scheme val="minor"/>
      </rPr>
      <t xml:space="preserve"> The ENERGY STAR ID information can be found by looking up the manufacturer and model number here:</t>
    </r>
  </si>
  <si>
    <r>
      <rPr>
        <b/>
        <sz val="10"/>
        <color theme="1"/>
        <rFont val="Calibri"/>
        <family val="2"/>
        <scheme val="minor"/>
      </rPr>
      <t>Tip 5:</t>
    </r>
    <r>
      <rPr>
        <sz val="10"/>
        <color theme="1"/>
        <rFont val="Calibri"/>
        <family val="2"/>
        <scheme val="minor"/>
      </rPr>
      <t xml:space="preserve"> For Tier 2 applicants, the HVAC equipment capacity must be entered for the incentive to populate.</t>
    </r>
  </si>
  <si>
    <t>C. Tier level and the homeowner high need qualifier must be entered for fields on the Work Scope tab to function.</t>
  </si>
  <si>
    <t>A. When entering measure information, cells that must be completed have a gray fill:</t>
  </si>
  <si>
    <t xml:space="preserve">     The cells will remain highlighted when an entry is made, so it is easily identifiable if editing is required.</t>
  </si>
  <si>
    <r>
      <rPr>
        <b/>
        <sz val="10"/>
        <color theme="1"/>
        <rFont val="Calibri"/>
        <family val="2"/>
        <scheme val="minor"/>
      </rPr>
      <t>Tip 1:</t>
    </r>
    <r>
      <rPr>
        <sz val="10"/>
        <color theme="1"/>
        <rFont val="Calibri"/>
        <family val="2"/>
        <scheme val="minor"/>
      </rPr>
      <t xml:space="preserve"> A red flag in the top right corner of a cell means a selection must be made from the drop down box.</t>
    </r>
  </si>
  <si>
    <r>
      <rPr>
        <b/>
        <sz val="10"/>
        <color theme="1"/>
        <rFont val="Calibri"/>
        <family val="2"/>
        <scheme val="minor"/>
      </rPr>
      <t>Tip 2:</t>
    </r>
    <r>
      <rPr>
        <sz val="10"/>
        <color theme="1"/>
        <rFont val="Calibri"/>
        <family val="2"/>
        <scheme val="minor"/>
      </rPr>
      <t xml:space="preserve"> Hover your cursor over a field with a red flag for a pop-up note with information.</t>
    </r>
  </si>
  <si>
    <r>
      <rPr>
        <b/>
        <sz val="10"/>
        <color theme="1"/>
        <rFont val="Calibri"/>
        <family val="2"/>
        <scheme val="minor"/>
      </rPr>
      <t>Tip 3:</t>
    </r>
    <r>
      <rPr>
        <sz val="10"/>
        <color theme="1"/>
        <rFont val="Calibri"/>
        <family val="2"/>
        <scheme val="minor"/>
      </rPr>
      <t xml:space="preserve"> Assign either ally A or B to a measure. The Ally field will highlight bright yellow if an entry is needed.</t>
    </r>
  </si>
  <si>
    <t xml:space="preserve">B. Section 3, Additional Energy Efficiency Cost Measure: Any measure required to complete an energy efficiency measure that is </t>
  </si>
  <si>
    <t xml:space="preserve">     not already classified as health &amp; safety.</t>
  </si>
  <si>
    <t>C. Project Evaluation Score details:</t>
  </si>
  <si>
    <t>3. Any ancillary costs need to be disclosed on the Ancillary Costs tab and signed by the applicant and ally.</t>
  </si>
  <si>
    <t>4. For Tier 2 applicants, the WNCF form must be completed and signed by the applicant.</t>
  </si>
  <si>
    <t>Warning: All fields MUST be entered for the workbook to work.</t>
  </si>
  <si>
    <t>6. Both the signed application and excel application are required at reservation and incentive approval.</t>
  </si>
  <si>
    <t>5. Name the application files in this format: AMIL000XXXXXXX.Reservation.Date or AMIL000XXXXXXX.Incentive.Date</t>
  </si>
  <si>
    <t>Revisions</t>
  </si>
  <si>
    <t>Update to BPM motor sales price/cost to populate $0 if box is not checked on application</t>
  </si>
  <si>
    <t xml:space="preserve"> AMEREN ILLINOIS ENERGY EFFICIENCY PROGRAM</t>
  </si>
  <si>
    <t xml:space="preserve"> Residential Single-Family Project Test Form</t>
  </si>
  <si>
    <t xml:space="preserve"> SECTION 1: PROJECT INFORMATION</t>
  </si>
  <si>
    <t xml:space="preserve"> SECTION 2: PRE-WORK PROJECT TESTING</t>
  </si>
  <si>
    <t xml:space="preserve"> Combustion Safety Testing</t>
  </si>
  <si>
    <t xml:space="preserve"> Conditions for Entry (as per BPI-1200 7.3):</t>
  </si>
  <si>
    <t>CAZ Greatest Possible Depressurization (as per BPI-1200 7.9.1)</t>
  </si>
  <si>
    <t xml:space="preserve"> Ambient CFG (%LEL):</t>
  </si>
  <si>
    <t>House Ambient CO Level (PPM):</t>
  </si>
  <si>
    <t>Combustion Appliance Zone (CAZ) ambient CO (PPM):</t>
  </si>
  <si>
    <t xml:space="preserve"> Fuel Distribution System Inspection (as per BPI-1200 7.5):</t>
  </si>
  <si>
    <t>Baseline Pressure:</t>
  </si>
  <si>
    <t>Resolved per Program requirements</t>
  </si>
  <si>
    <t>Spillage and CO Testing (as per BPI-1200 7.9.2 through 7.9.4)</t>
  </si>
  <si>
    <t>Water Heater Spillage:</t>
  </si>
  <si>
    <t>Water Heater Air-Free CO:</t>
  </si>
  <si>
    <t>Heating Spillage:</t>
  </si>
  <si>
    <t>Heating Air-Free CO:</t>
  </si>
  <si>
    <t>Ameren Illinois Gas Operations</t>
  </si>
  <si>
    <t>800-755-5000</t>
  </si>
  <si>
    <t>Oven CO:</t>
  </si>
  <si>
    <t>Ventilation Requirements (ASHRAE 62.2-2016)</t>
  </si>
  <si>
    <t>Measured</t>
  </si>
  <si>
    <t>Window Credit (Y/N)</t>
  </si>
  <si>
    <t>Bathroom #1 flow rate (CFM)</t>
  </si>
  <si>
    <t>Proposed Ventilation Strategy</t>
  </si>
  <si>
    <t>Bathroom #2 flow rate (CFM)</t>
  </si>
  <si>
    <t>Variable flow fan adjusted on site</t>
  </si>
  <si>
    <t>Bathroom #3 flow rate (CFM)</t>
  </si>
  <si>
    <t>One speed fan with timer (exisiting or new)</t>
  </si>
  <si>
    <t>Bathroom #4 flow rate (CFM)</t>
  </si>
  <si>
    <t>Air cycler-style</t>
  </si>
  <si>
    <t>Half-Bath #5 flow rate (CFM)</t>
  </si>
  <si>
    <t>Recovery Ventilator</t>
  </si>
  <si>
    <t>Kitchen # 1 flow rate (CFM)</t>
  </si>
  <si>
    <t>Natural</t>
  </si>
  <si>
    <t>Kitchen # 2 flow rate (CFM)</t>
  </si>
  <si>
    <t>Total Local Deficit:</t>
  </si>
  <si>
    <t>Story Factor (s):</t>
  </si>
  <si>
    <r>
      <t>Required whole-house ventilation rate   Q</t>
    </r>
    <r>
      <rPr>
        <vertAlign val="subscript"/>
        <sz val="8"/>
        <color theme="1"/>
        <rFont val="Calibri"/>
        <family val="2"/>
        <scheme val="minor"/>
      </rPr>
      <t>tot</t>
    </r>
    <r>
      <rPr>
        <sz val="8"/>
        <color theme="1"/>
        <rFont val="Calibri"/>
        <family val="2"/>
        <scheme val="minor"/>
      </rPr>
      <t xml:space="preserve"> = (.03 x floor area) + (7.5 x (# of bedrooms +1)):</t>
    </r>
  </si>
  <si>
    <r>
      <t>Adjusted Q</t>
    </r>
    <r>
      <rPr>
        <vertAlign val="subscript"/>
        <sz val="8"/>
        <color theme="1"/>
        <rFont val="Calibri"/>
        <family val="2"/>
        <scheme val="minor"/>
      </rPr>
      <t>tot</t>
    </r>
    <r>
      <rPr>
        <sz val="8"/>
        <color theme="1"/>
        <rFont val="Calibri"/>
        <family val="2"/>
        <scheme val="minor"/>
      </rPr>
      <t xml:space="preserve"> for alternative compliance supplement:</t>
    </r>
  </si>
  <si>
    <t>Infiltration Testing Data</t>
  </si>
  <si>
    <t>Outside Temp:</t>
  </si>
  <si>
    <t>Test door facing:</t>
  </si>
  <si>
    <t>Wind Speed:</t>
  </si>
  <si>
    <t>Wind direction:</t>
  </si>
  <si>
    <t xml:space="preserve"> SECTION 3: POST-WORK PROJECT TESTING</t>
  </si>
  <si>
    <t>Utilized Ventilation Strategy</t>
  </si>
  <si>
    <t>Select one rate below</t>
  </si>
  <si>
    <t>Continuous Ventilation Rate (CFM)</t>
  </si>
  <si>
    <t>Intermittent Ventilation Rate (CFM)</t>
  </si>
  <si>
    <t>Timer Set Point (min/hour)</t>
  </si>
  <si>
    <t xml:space="preserve"> SECTION 4: REFERENCE CHARTS AND ACTION LEVEL DATA</t>
  </si>
  <si>
    <t>Story Factors (S)</t>
  </si>
  <si>
    <t>BPI-1200 Annex I.1.4</t>
  </si>
  <si>
    <t xml:space="preserve">Central Furnace (all categories)  </t>
  </si>
  <si>
    <t xml:space="preserve">Boiler  </t>
  </si>
  <si>
    <t xml:space="preserve">Floor Furnace  </t>
  </si>
  <si>
    <t xml:space="preserve">Gravity Furnace  </t>
  </si>
  <si>
    <t xml:space="preserve">Wall Furnace (BIV)  </t>
  </si>
  <si>
    <t xml:space="preserve">Wall Furnace (Direct Vent)  </t>
  </si>
  <si>
    <t xml:space="preserve"> - Advise homeowner contact qual. pro</t>
  </si>
  <si>
    <t xml:space="preserve">Vented Room Heater  </t>
  </si>
  <si>
    <t xml:space="preserve">Unvented Room Heater  </t>
  </si>
  <si>
    <t xml:space="preserve">Water Heater  </t>
  </si>
  <si>
    <t xml:space="preserve">Oven/Broiler  </t>
  </si>
  <si>
    <t xml:space="preserve">Clothes Dryer  </t>
  </si>
  <si>
    <t xml:space="preserve">Refrigerator  </t>
  </si>
  <si>
    <t>If ambient CO &lt; 9 PPM</t>
  </si>
  <si>
    <t xml:space="preserve">Gas Log (gas fireplace) </t>
  </si>
  <si>
    <t xml:space="preserve"> - no action is required</t>
  </si>
  <si>
    <t xml:space="preserve">Gas Log (in wood burning fireplace) </t>
  </si>
  <si>
    <t>Process Checklist</t>
  </si>
  <si>
    <t>House ambient combustible fuel gas &lt; 10% LEL</t>
  </si>
  <si>
    <t>Follow Program process if gas leak detected</t>
  </si>
  <si>
    <r>
      <t>Garage DHW FVIR or 18</t>
    </r>
    <r>
      <rPr>
        <sz val="8"/>
        <rFont val="Calibri"/>
        <family val="2"/>
      </rPr>
      <t>”</t>
    </r>
    <r>
      <rPr>
        <sz val="8"/>
        <rFont val="Calibri"/>
        <family val="2"/>
        <scheme val="minor"/>
      </rPr>
      <t xml:space="preserve"> off floor</t>
    </r>
  </si>
  <si>
    <t xml:space="preserve">Visual combustion appliance and venting system inspection                                  </t>
  </si>
  <si>
    <t>Masonry chimney lined</t>
  </si>
  <si>
    <t>Lower BTU appliance enters main flue after higher BTU appliance</t>
  </si>
  <si>
    <t>BPI-1200 7.8</t>
  </si>
  <si>
    <t>Unvented heater ANSI Z21.11.2  label</t>
  </si>
  <si>
    <t>Yes</t>
  </si>
  <si>
    <t>No</t>
  </si>
  <si>
    <t>Pass</t>
  </si>
  <si>
    <t>Fail</t>
  </si>
  <si>
    <t xml:space="preserve"> Visual Inspection of CAZ (as per BPI-1200 7.7):</t>
  </si>
  <si>
    <t>If any portion of the combustion appliance and fuel distribution system inspection did not</t>
  </si>
  <si>
    <t>meet BPI-1200 standards, describe actions taken:</t>
  </si>
  <si>
    <t xml:space="preserve">If any appliance failed spillage or tested unacceptable for CO, or if ambient CO level in </t>
  </si>
  <si>
    <t xml:space="preserve">CAZ became elevated, state actions taken here; any additional appliances tested or </t>
  </si>
  <si>
    <t>additonal Combution Appliance Zone data can be placed here also:</t>
  </si>
  <si>
    <t>Street Address</t>
  </si>
  <si>
    <t>BPI-Certified Tester Name</t>
  </si>
  <si>
    <t>Program Ally Name</t>
  </si>
  <si>
    <r>
      <t xml:space="preserve">Floor Area in Square Feet </t>
    </r>
    <r>
      <rPr>
        <sz val="6"/>
        <color theme="1"/>
        <rFont val="Calibri"/>
        <family val="2"/>
        <scheme val="minor"/>
      </rPr>
      <t>(including basements)</t>
    </r>
  </si>
  <si>
    <t xml:space="preserve">Combustion Safety Testing Required </t>
  </si>
  <si>
    <t xml:space="preserve">Pre-work Test Date </t>
  </si>
  <si>
    <t xml:space="preserve">Number of Bedrooms </t>
  </si>
  <si>
    <r>
      <rPr>
        <b/>
        <sz val="8"/>
        <color theme="1"/>
        <rFont val="Calibri"/>
        <family val="2"/>
        <scheme val="minor"/>
      </rPr>
      <t>Note:</t>
    </r>
    <r>
      <rPr>
        <sz val="8"/>
        <color theme="1"/>
        <rFont val="Calibri"/>
        <family val="2"/>
        <scheme val="minor"/>
      </rPr>
      <t xml:space="preserve">  </t>
    </r>
    <r>
      <rPr>
        <i/>
        <sz val="8"/>
        <color theme="1"/>
        <rFont val="Calibri"/>
        <family val="2"/>
        <scheme val="minor"/>
      </rPr>
      <t>if Q</t>
    </r>
    <r>
      <rPr>
        <i/>
        <vertAlign val="subscript"/>
        <sz val="8"/>
        <color theme="1"/>
        <rFont val="Calibri"/>
        <family val="2"/>
        <scheme val="minor"/>
      </rPr>
      <t>fan</t>
    </r>
    <r>
      <rPr>
        <i/>
        <sz val="8"/>
        <color theme="1"/>
        <rFont val="Calibri"/>
        <family val="2"/>
        <scheme val="minor"/>
      </rPr>
      <t xml:space="preserve"> ≤ 15 CFM then no additional whole-building mechanical ventilation is required</t>
    </r>
  </si>
  <si>
    <t>Visual Inspection of combustion appliances and venting systems (as per BPI-1200 7.8):</t>
  </si>
  <si>
    <t>N</t>
  </si>
  <si>
    <t>NW</t>
  </si>
  <si>
    <t>One speed fan with timer (existing or new)</t>
  </si>
  <si>
    <t>Other (detail below)</t>
  </si>
  <si>
    <t>Additional Ventilation Notes:</t>
  </si>
  <si>
    <t>W</t>
  </si>
  <si>
    <t>S</t>
  </si>
  <si>
    <t>NE</t>
  </si>
  <si>
    <t>SW</t>
  </si>
  <si>
    <t>SE</t>
  </si>
  <si>
    <t xml:space="preserve">Post-work Test Date </t>
  </si>
  <si>
    <t>USE</t>
  </si>
  <si>
    <t>Zero out kWh savings if electric account is not "X"</t>
  </si>
  <si>
    <t>Greatest Possible Depressurization:</t>
  </si>
  <si>
    <t>Suspect Gas Leak Found:</t>
  </si>
  <si>
    <t>Number of Stories</t>
  </si>
  <si>
    <t>Room AC Electrical modification</t>
  </si>
  <si>
    <t>ENERGY STAR Certified Heat Pump Water Heater - 240 Volts</t>
  </si>
  <si>
    <t>ENERGY STAR Certified Heat Pump Water Heater - 120 Volts</t>
  </si>
  <si>
    <t>ENERGY STAR Certified Gas Storage Water Heaters</t>
  </si>
  <si>
    <t>Kneewall Insulation
[R0 to R12 or Greater]</t>
  </si>
  <si>
    <t>Wall Insulation
[R0 to R11 or Greater]</t>
  </si>
  <si>
    <t>Rim Joist Insulation
[R0 to R10 or Greater]</t>
  </si>
  <si>
    <t>Crawl Space Wall Insulation
[R0 to R10 or Greater]</t>
  </si>
  <si>
    <t>Update insulation measures initial conditions to R0</t>
  </si>
  <si>
    <t>Data Entry TR Review Tab - added Bonus lines and Disclaimer Form checkbox</t>
  </si>
  <si>
    <t>For Accesses Update for Tim Huber, remove Cut &amp; close rouch access and kneewall door access from PY24 Pricing tab and update H&amp;S PY24 price for horizontal/vertical access standard/unique</t>
  </si>
  <si>
    <t xml:space="preserve">Asbestos - Duct Wrap and Flue Pipe </t>
  </si>
  <si>
    <t>Horizontal Access 'Standard'</t>
  </si>
  <si>
    <t>Horizontal Access 'Unique'</t>
  </si>
  <si>
    <t>Vertical Access 'Standard'</t>
  </si>
  <si>
    <t>Vertical Access 'Unique'</t>
  </si>
  <si>
    <t>Water Heater Repair</t>
  </si>
  <si>
    <t>Water Heater Replacement</t>
  </si>
  <si>
    <t>Disclaimer Form</t>
  </si>
  <si>
    <t>Bonus</t>
  </si>
  <si>
    <r>
      <rPr>
        <b/>
        <sz val="8"/>
        <color rgb="FF231F20"/>
        <rFont val="Calibri"/>
        <family val="2"/>
      </rPr>
      <t xml:space="preserve">9. Indemnification and Waiver - </t>
    </r>
    <r>
      <rPr>
        <sz val="8"/>
        <color rgb="FF231F20"/>
        <rFont val="Calibri"/>
        <family val="2"/>
      </rPr>
      <t>Customer agrees to release, indemnify, defend and hold harmless Ameren Illinois, the Prime Implementer (Leidos, Inc.), and their respective affiliates, subsidiaries, parent companies, officers, directors, agents, subcontractors, and employees (collectively the “Indemnities”), against all claims, losses, damages, expenses, fees, costs and liability of any nature whatsoever arising from any program, design, consulting, measures, product, system, equipment, appliance, or the installation thereof. Customer agrees that such obligations under this section shall survive any expiration or termination of this Agreement and shall not be limited to any remunerations herein of required insurance coverage. To the maximum extent permitted by law, the Customer agrees to limit Indemnities’ liability to the Customer for any reason to the total amount of payments identified in this Agreement. This limitation shall apply regardless of the cause of action or legal theory pled or asserted. Customer hereby expressly waives the right to specifically enforce this Agreement.</t>
    </r>
  </si>
  <si>
    <t>Confined/Inaccessible Spaces - Access necessary for inspection and/or completion of work.</t>
  </si>
  <si>
    <t xml:space="preserve">Includes creating an access and installing an air-tight, insulated, operable door or panel into a horizontal surface such as a ceiling or floor. Includes finish trim or transition, framing, and damming around the opening. Refer to the Building Envelope Field Guide - 4.1.5.2. Damming not required for floor accesses. Floor access insulation not required if crawlspace is/will be encapsulated. </t>
  </si>
  <si>
    <t>Includes creating an access and installing an air tight, insulated, operable door or panel into a vertical surface such as a wall. Includes finish trim, framing, and damming around the opening. Refer to the Building Envelope Field Guide - 4.1.5.2.</t>
  </si>
  <si>
    <t>Includes creating an access in a horizontal surface such as a ceiling or floor. Provide detailed proposal for necessary work.</t>
  </si>
  <si>
    <t>Includes creating an access in a vertical surface such as a wall. Provide detailed proposal for necessary work.</t>
  </si>
  <si>
    <t>When necessary for vapor barrier installation &amp; potentially other measures to be completed within the crawlspace. Provide detailed proposal for necessary work.</t>
  </si>
  <si>
    <t>ENERGY STAR Certified Continuous Exhaust Fans</t>
  </si>
  <si>
    <t>SECTION 2: ENERGY EFFICIENCY EQUIPMENT</t>
  </si>
  <si>
    <t>System
Type:</t>
  </si>
  <si>
    <t>High Efficiency Furnace</t>
  </si>
  <si>
    <t>AFUE:</t>
  </si>
  <si>
    <t>Heating Capacity:</t>
  </si>
  <si>
    <t>SECTION 3: CUSTOMER SUMMARY - Annual Customer Energy Bill Impacts</t>
  </si>
  <si>
    <t>Electric Bill Savings</t>
  </si>
  <si>
    <t>*Scenario 3C is for estimated savings comparison only and not an option available through the Ameren IL Energy Efficiency Program</t>
  </si>
  <si>
    <t>SECTION 4: CUSTOMER ACKNOWLEDGEMENT</t>
  </si>
  <si>
    <t>These are projected savings based upon modeling and are not guaranteed. The bill savings may not be an accurate representation of the actual savings due to variances in equipment, assumptions in home performance, cost of energy, or other energy use. Ameren Illinois, its parent, affiliates and subsidiaries, and their directors, officers, employees, contractors or agents shall not be liable to the customer for the failure to achieve energy savings in general or as listed above.</t>
  </si>
  <si>
    <t xml:space="preserve">I, the undersigned, agree that the information above is representative of what has been discussed and proposed by the participating program ally (contractor). </t>
  </si>
  <si>
    <t>Weatherization</t>
  </si>
  <si>
    <t>Key Impacts</t>
  </si>
  <si>
    <t>Rate Inputs</t>
  </si>
  <si>
    <t>Annual Bill Savings ($)</t>
  </si>
  <si>
    <t>Current Date</t>
  </si>
  <si>
    <t>Annual BTU Savings</t>
  </si>
  <si>
    <t>Electric Rate Class</t>
  </si>
  <si>
    <t>DS-1 (Residential)</t>
  </si>
  <si>
    <t>Annual Claimable kWh Savings</t>
  </si>
  <si>
    <t>Natural Gas Rate Class</t>
  </si>
  <si>
    <t>GDS-1 (Residential)</t>
  </si>
  <si>
    <t>Electricity (Non-Summer)</t>
  </si>
  <si>
    <t>/kWh</t>
  </si>
  <si>
    <t>$/kWh Savings Yield</t>
  </si>
  <si>
    <t>Electricity (Summer)</t>
  </si>
  <si>
    <t>AFUE_EE</t>
  </si>
  <si>
    <t>First Year CO2 Savings (lb)</t>
  </si>
  <si>
    <t>/MMBTU</t>
  </si>
  <si>
    <t>Natural Gas (Customer Charge)</t>
  </si>
  <si>
    <t>/Month</t>
  </si>
  <si>
    <t>Heating Btuh_EE</t>
  </si>
  <si>
    <t>Key</t>
  </si>
  <si>
    <t>Natural Gas Elimination</t>
  </si>
  <si>
    <t>Partial</t>
  </si>
  <si>
    <t>User Input</t>
  </si>
  <si>
    <t>Output</t>
  </si>
  <si>
    <t>/gal</t>
  </si>
  <si>
    <t>Fuel Oil</t>
  </si>
  <si>
    <t>Existing Central Cooling</t>
  </si>
  <si>
    <t>Customer Type</t>
  </si>
  <si>
    <t>Income Eligible?</t>
  </si>
  <si>
    <t>Measure Selection</t>
  </si>
  <si>
    <t>Sector</t>
  </si>
  <si>
    <t>End Use</t>
  </si>
  <si>
    <t>Existing Technology</t>
  </si>
  <si>
    <t>Existing Fuel</t>
  </si>
  <si>
    <t>New Technology</t>
  </si>
  <si>
    <t>Project Cost</t>
  </si>
  <si>
    <t>Existing Technology BTU Impacts</t>
  </si>
  <si>
    <t>New Technology BTU Impacts</t>
  </si>
  <si>
    <t>Total BTU Impacts by Fuel Type</t>
  </si>
  <si>
    <t>Bill Impacts by Fuel Type</t>
  </si>
  <si>
    <t>kWh-Equivalent Savings</t>
  </si>
  <si>
    <t>CO2 Savings</t>
  </si>
  <si>
    <t>Fossil Fuel</t>
  </si>
  <si>
    <t>Winter Electricity</t>
  </si>
  <si>
    <t>Summer Electricity</t>
  </si>
  <si>
    <t>Total Electricity</t>
  </si>
  <si>
    <t>Electricity</t>
  </si>
  <si>
    <t>Residential</t>
  </si>
  <si>
    <t>n/a</t>
  </si>
  <si>
    <t>Hot Water</t>
  </si>
  <si>
    <t>Appliances</t>
  </si>
  <si>
    <t>Building Shell</t>
  </si>
  <si>
    <t>Uninsulated</t>
  </si>
  <si>
    <t>Total Net BTU Impacts =</t>
  </si>
  <si>
    <t>Total Net Bill Impacts =</t>
  </si>
  <si>
    <t>Total Net Claimable kWh Savings =</t>
  </si>
  <si>
    <t>Total Net CO2 Savings =</t>
  </si>
  <si>
    <t>Measure / Technology</t>
  </si>
  <si>
    <t>Attribute</t>
  </si>
  <si>
    <t>Value</t>
  </si>
  <si>
    <t>Source</t>
  </si>
  <si>
    <t>TRM Measure Code</t>
  </si>
  <si>
    <t>ISFORMULA()</t>
  </si>
  <si>
    <t>EFLH</t>
  </si>
  <si>
    <t>based on zip code</t>
  </si>
  <si>
    <t>Illinois Statewide Technical Reference Manual — 5.3.1 Air Source Heat Pumps (Centrally Ducted and Ductless)</t>
  </si>
  <si>
    <t>RS-HVC-ASHP-V14-240101</t>
  </si>
  <si>
    <t>Air-Source Heat Pump</t>
  </si>
  <si>
    <t>Capacity_ASHPheat (Btuh_Existing)</t>
  </si>
  <si>
    <t>Actual</t>
  </si>
  <si>
    <t>Heat Load Factor</t>
  </si>
  <si>
    <t>partial based on zip code (assumed 32F switchover temp)</t>
  </si>
  <si>
    <t>HeatLoad_Disp</t>
  </si>
  <si>
    <t>DuctlessSave</t>
  </si>
  <si>
    <t>ducted replaced by ducted</t>
  </si>
  <si>
    <t>AFUEbase</t>
  </si>
  <si>
    <t>GasHeatReplaced</t>
  </si>
  <si>
    <t>FurnaceFlag</t>
  </si>
  <si>
    <t>Furnace replaced</t>
  </si>
  <si>
    <t>Capacity_ASHPheat</t>
  </si>
  <si>
    <t>Fe</t>
  </si>
  <si>
    <t>FurnaceFanSavings</t>
  </si>
  <si>
    <t>MMBTU</t>
  </si>
  <si>
    <t>FLH_ASHPheat</t>
  </si>
  <si>
    <t>HSPF2_ee</t>
  </si>
  <si>
    <t>HSPF2_ClimateAdj</t>
  </si>
  <si>
    <t>full based on zip code (assumed 32F switchover temp)</t>
  </si>
  <si>
    <t>PD_Adj</t>
  </si>
  <si>
    <t>DeratingHeatEff</t>
  </si>
  <si>
    <t>unknown</t>
  </si>
  <si>
    <t>ASHPSiteHeatConsumed</t>
  </si>
  <si>
    <t>FLHcool</t>
  </si>
  <si>
    <t>Capacity_ASHPcool</t>
  </si>
  <si>
    <t>CoolingLoad</t>
  </si>
  <si>
    <t>SEER2_base</t>
  </si>
  <si>
    <t>DeratingCoolBase</t>
  </si>
  <si>
    <t>SEER2_ee</t>
  </si>
  <si>
    <t>DeratingCoolEff</t>
  </si>
  <si>
    <t>ASHPSiteCoolingImpact</t>
  </si>
  <si>
    <t>BTU_NewSiteCoolingImpact</t>
  </si>
  <si>
    <t>SiteEnergySavings (MMBTUs)</t>
  </si>
  <si>
    <t>Capacity_cooling</t>
  </si>
  <si>
    <t>Estimated cooling capacity</t>
  </si>
  <si>
    <t>EER_base</t>
  </si>
  <si>
    <t>Central AC, TOS</t>
  </si>
  <si>
    <t>EER_ee</t>
  </si>
  <si>
    <t>CF</t>
  </si>
  <si>
    <t>Summer System Peak Coincidence Factor for Heat Pumps in single-family homes (during system peak hour)</t>
  </si>
  <si>
    <t>Delta_kW</t>
  </si>
  <si>
    <t>kWh Saved per Unit</t>
  </si>
  <si>
    <t>Coincident Peak kW Saved per Unit</t>
  </si>
  <si>
    <t>Propane Gal Saved per Unit</t>
  </si>
  <si>
    <t>91,333 Btu per gal propane, IL EE Policy Manual v2.1</t>
  </si>
  <si>
    <t>Lifetime (years)</t>
  </si>
  <si>
    <t>Incremental Cost</t>
  </si>
  <si>
    <t>Leidos pricing for 3-ton SEER 16 ASHP with electrical upgrades</t>
  </si>
  <si>
    <t>BTU Impact_Existing_Fossil Fuel</t>
  </si>
  <si>
    <t>BTU Impact_Existing_Winter Electricity</t>
  </si>
  <si>
    <t>BTU Impact_Existing_Summer Electricity</t>
  </si>
  <si>
    <t>BTU Impact_New_Fossil Fuel</t>
  </si>
  <si>
    <t>BTU Impact_New_Winter Electricity</t>
  </si>
  <si>
    <t>BTU Impact_New_Summer Electricity</t>
  </si>
  <si>
    <t>Single Family</t>
  </si>
  <si>
    <t>Ductless Heat Pump</t>
  </si>
  <si>
    <t>Capacity_DMSHPheat (Btuh_Existing)</t>
  </si>
  <si>
    <t>ductless replaced by ductless</t>
  </si>
  <si>
    <t>No furnace replaced</t>
  </si>
  <si>
    <t>Capacity_DMSHPheat</t>
  </si>
  <si>
    <t>EFLHheat_DMSHP</t>
  </si>
  <si>
    <t>HeatLoadFactorelec</t>
  </si>
  <si>
    <t>DMSHPSiteHeatConsumed</t>
  </si>
  <si>
    <t>EFLHcool</t>
  </si>
  <si>
    <t>Capacity_DMSHPcool</t>
  </si>
  <si>
    <t>DMSHPSiteCoolingImpact</t>
  </si>
  <si>
    <t>Assumes no existing cooling system</t>
  </si>
  <si>
    <t>Capacitycool</t>
  </si>
  <si>
    <t>Illinois Statewide Technical Reference Manual — 5.3.8 Ground Source Heat Pump</t>
  </si>
  <si>
    <t>RS-HVC-GSHP-V14-240101</t>
  </si>
  <si>
    <t>Ground Source Heat Pump</t>
  </si>
  <si>
    <t>HeatLoad</t>
  </si>
  <si>
    <t>FLH_GSHPheat</t>
  </si>
  <si>
    <t>Capacity_GSHPheat</t>
  </si>
  <si>
    <t>COP_pl</t>
  </si>
  <si>
    <t>GSHPSiteHeatConsumed</t>
  </si>
  <si>
    <t>Capacity_GSHPcool</t>
  </si>
  <si>
    <t>EER2_pl</t>
  </si>
  <si>
    <t>GSHPSiteCoolingImpact</t>
  </si>
  <si>
    <t>EER2_base</t>
  </si>
  <si>
    <t>Summer System Peak Coincidence Factor for Central A/C (during sytem peak hour)</t>
  </si>
  <si>
    <t>%DHW Displaced</t>
  </si>
  <si>
    <t>unknown, no desuperheater installed</t>
  </si>
  <si>
    <t>EF_gas</t>
  </si>
  <si>
    <t>unknown, assumed 40 gal</t>
  </si>
  <si>
    <t>EF_elec</t>
  </si>
  <si>
    <t>GPD</t>
  </si>
  <si>
    <t>Household</t>
  </si>
  <si>
    <t>yWater</t>
  </si>
  <si>
    <t>T_out</t>
  </si>
  <si>
    <t>T_in</t>
  </si>
  <si>
    <t>GSHPSiteWaterImpact_gas</t>
  </si>
  <si>
    <t>GSHPSiteWaterImpact_elec</t>
  </si>
  <si>
    <t>UEFBASE</t>
  </si>
  <si>
    <t>50 gallon</t>
  </si>
  <si>
    <t>Illinois Statewide Technical Reference Manual — 5.4.3 Heat Pump Water Heaters</t>
  </si>
  <si>
    <t>RS-HWE-HPWH-V13-240101</t>
  </si>
  <si>
    <t>UEFEFFICIENT</t>
  </si>
  <si>
    <t>59 gallon 240 volt</t>
  </si>
  <si>
    <t>Single-Family - Deemed</t>
  </si>
  <si>
    <t>γWater</t>
  </si>
  <si>
    <t>TOUT</t>
  </si>
  <si>
    <t>TIN</t>
  </si>
  <si>
    <t>Unknown location</t>
  </si>
  <si>
    <t>COPCOOL</t>
  </si>
  <si>
    <t>Unknown</t>
  </si>
  <si>
    <t>LM</t>
  </si>
  <si>
    <t>kWh_cooling</t>
  </si>
  <si>
    <t>COPHEAT</t>
  </si>
  <si>
    <t>%NaturalGas</t>
  </si>
  <si>
    <t>kWh_heating</t>
  </si>
  <si>
    <t>Deh_Reduction</t>
  </si>
  <si>
    <t>Delta_kWh</t>
  </si>
  <si>
    <t>Hours</t>
  </si>
  <si>
    <t>Unknown, 50-gal capacity</t>
  </si>
  <si>
    <t>Delta_Therms</t>
  </si>
  <si>
    <t>Delta_Btu</t>
  </si>
  <si>
    <t>Load</t>
  </si>
  <si>
    <t>Standard</t>
  </si>
  <si>
    <t>Illinois Statewide Technical Reference Manual — 5.1.10 ENERGY STAR Clothes Dryer</t>
  </si>
  <si>
    <t>RS-APL-ESDR-V06-240101</t>
  </si>
  <si>
    <t>CEFbase</t>
  </si>
  <si>
    <t>Vented Electric, Standard (≥ 4.4 ft3)</t>
  </si>
  <si>
    <t>CEFeff</t>
  </si>
  <si>
    <t>ES min</t>
  </si>
  <si>
    <t>Ncycles</t>
  </si>
  <si>
    <t>%Electric</t>
  </si>
  <si>
    <t>Electric Dryer</t>
  </si>
  <si>
    <t>ΔkWh</t>
  </si>
  <si>
    <t>ΔkW</t>
  </si>
  <si>
    <t>EFbase</t>
  </si>
  <si>
    <t>Vented Gas</t>
  </si>
  <si>
    <t>IQAdj</t>
  </si>
  <si>
    <t>Therm_convert</t>
  </si>
  <si>
    <t>%Gas</t>
  </si>
  <si>
    <t>Gas Dryer</t>
  </si>
  <si>
    <t>Δtherm</t>
  </si>
  <si>
    <t>Therms Saved per Unit</t>
  </si>
  <si>
    <t>ENERGY STAR</t>
  </si>
  <si>
    <t>Gas Dryer Electric Consumption</t>
  </si>
  <si>
    <t>Electric Range</t>
  </si>
  <si>
    <t>Cooktop AEC_basegas</t>
  </si>
  <si>
    <t>Illinois Statewide Technical Reference Manual — 5.1.14 Residential Induction Cooking Appliances</t>
  </si>
  <si>
    <t>RS-MSC-INDC-V02-240101</t>
  </si>
  <si>
    <t>Oven AEC_basegas</t>
  </si>
  <si>
    <t>AEC_basegas</t>
  </si>
  <si>
    <t>Gas Consumption Replaced</t>
  </si>
  <si>
    <t>Cooktop IAEC_ee</t>
  </si>
  <si>
    <t>Oven IAEC_ee</t>
  </si>
  <si>
    <t>unknown, range amount</t>
  </si>
  <si>
    <t>IAEC_ee</t>
  </si>
  <si>
    <t>Electric Consumption Added</t>
  </si>
  <si>
    <t>Eff_ee</t>
  </si>
  <si>
    <t>Eff_base</t>
  </si>
  <si>
    <t>Cooktop AEC_base</t>
  </si>
  <si>
    <t>AEC_baseelectric</t>
  </si>
  <si>
    <t>Electric Consumption Replaced</t>
  </si>
  <si>
    <t>Cooking Savings</t>
  </si>
  <si>
    <t>%Cool</t>
  </si>
  <si>
    <t>HCF_cool</t>
  </si>
  <si>
    <t>Vent Factor</t>
  </si>
  <si>
    <t>COP_cool</t>
  </si>
  <si>
    <t>Cooling Impact</t>
  </si>
  <si>
    <t>%ElectricHeat</t>
  </si>
  <si>
    <t>unknwon</t>
  </si>
  <si>
    <t>HCF_heat</t>
  </si>
  <si>
    <t>COP_heat</t>
  </si>
  <si>
    <t>ElecHeat Impact</t>
  </si>
  <si>
    <t>%FossilFuelHeat</t>
  </si>
  <si>
    <t>nHeat</t>
  </si>
  <si>
    <t>Fossil Fuel Heat Impact</t>
  </si>
  <si>
    <t>WHFd</t>
  </si>
  <si>
    <t>kW Saved per Unit</t>
  </si>
  <si>
    <t>Air Sealing (Electric Heat)</t>
  </si>
  <si>
    <t>CFM50_existing</t>
  </si>
  <si>
    <t>per project</t>
  </si>
  <si>
    <t>Illinois Statewide Technical Reference Manual — 5.6.1 Air Sealing</t>
  </si>
  <si>
    <t>RS-SHL-AIRS-V13-240101</t>
  </si>
  <si>
    <t>CFM50_new</t>
  </si>
  <si>
    <t>per CFM</t>
  </si>
  <si>
    <t>N_cool</t>
  </si>
  <si>
    <t>Springfield, 1.5 stories</t>
  </si>
  <si>
    <t>CDD</t>
  </si>
  <si>
    <t>Based on zip code</t>
  </si>
  <si>
    <t>DUA</t>
  </si>
  <si>
    <t>ηCool</t>
  </si>
  <si>
    <t>ηCool_Mid-Life_Adj</t>
  </si>
  <si>
    <t>Springfield</t>
  </si>
  <si>
    <t>ADJAirSealingCool</t>
  </si>
  <si>
    <t>Air sealing and attic insulation</t>
  </si>
  <si>
    <t>IENetCorrection</t>
  </si>
  <si>
    <t>Delta_kWh_cooling</t>
  </si>
  <si>
    <t>Delta_kWh_cooling_Mid-Life_Adj</t>
  </si>
  <si>
    <t>N_heat</t>
  </si>
  <si>
    <t>HDD</t>
  </si>
  <si>
    <t>ηHeat</t>
  </si>
  <si>
    <t>ηHeat_Mid-Life_Adj</t>
  </si>
  <si>
    <t>Electric Heat</t>
  </si>
  <si>
    <t>Delta_kWh_heatingElectric</t>
  </si>
  <si>
    <t>Delta_kWh_heatingElectric_Mid-Life_Adj</t>
  </si>
  <si>
    <t>ADJAirSealingHeatFan</t>
  </si>
  <si>
    <t>Delta_kWh_heatingGas</t>
  </si>
  <si>
    <t>Delta_kWh_heatingGas_Mid-Life_Adj</t>
  </si>
  <si>
    <t>FLH_cooling</t>
  </si>
  <si>
    <t>Delta_kW_Mid-Life_Adj</t>
  </si>
  <si>
    <t>ADJAirSealingGasHeat</t>
  </si>
  <si>
    <t>Delta_therms</t>
  </si>
  <si>
    <t>Delta_therms_Mid-Life_Adj</t>
  </si>
  <si>
    <t>Remaining Year kWh</t>
  </si>
  <si>
    <t>Remaining Year kW</t>
  </si>
  <si>
    <t>Remaining Year Therms</t>
  </si>
  <si>
    <t>Remaining Life</t>
  </si>
  <si>
    <t>Direct Install, set equal to incentive cost</t>
  </si>
  <si>
    <t>Ceiling/Attic Insulation #1 (Electric Heat)</t>
  </si>
  <si>
    <t>R_old</t>
  </si>
  <si>
    <t>Illinois Statewide Technical Reference Manual — 5.6.5 Ceiling/Attic Insulation</t>
  </si>
  <si>
    <t>RS-SHL-AINS-V07-240101</t>
  </si>
  <si>
    <t>R_attic</t>
  </si>
  <si>
    <t>A_attic</t>
  </si>
  <si>
    <t>Framing_factor_attic</t>
  </si>
  <si>
    <t>ADJAtticCool</t>
  </si>
  <si>
    <t>ADJAtticElectricHeat</t>
  </si>
  <si>
    <t>ADJAtticHeatFan</t>
  </si>
  <si>
    <t>ADJAtticGasHeat</t>
  </si>
  <si>
    <t>%GasHeat</t>
  </si>
  <si>
    <t>Ceiling/Attic Insulation #2 (Electric Heat)</t>
  </si>
  <si>
    <t>Attic Kneewall Insulation #1 (Electric Heat)</t>
  </si>
  <si>
    <t>Illinois Statewide Technical Reference Manual — 5.6.4 Wall Insulation</t>
  </si>
  <si>
    <t>RS-SHL-WINS-V13-240101</t>
  </si>
  <si>
    <t>R_wall</t>
  </si>
  <si>
    <t>A_wall</t>
  </si>
  <si>
    <t>Framing_factor_wall</t>
  </si>
  <si>
    <t>ADJWallCool</t>
  </si>
  <si>
    <t>ADJWallHeat</t>
  </si>
  <si>
    <t>Delta_Therms_Mid-Life_Adj</t>
  </si>
  <si>
    <t>Attic Kneewall Insulation #2 (Electric Heat)</t>
  </si>
  <si>
    <t>Wall Insulation (Electric Heat)</t>
  </si>
  <si>
    <t>Uninsulated assembly</t>
  </si>
  <si>
    <t>Rim/Band Joist Insulation (Electric Heat)</t>
  </si>
  <si>
    <t>Illinois Statewide Technical Reference Manual — 5.6.6 Rim/Band Joist Insulation</t>
  </si>
  <si>
    <t>RS-SHL-RINS-V06-240101</t>
  </si>
  <si>
    <t>R_rim</t>
  </si>
  <si>
    <t>A_rim</t>
  </si>
  <si>
    <t>Framing_factor_rim</t>
  </si>
  <si>
    <t>Based on zip code, unconditioned values</t>
  </si>
  <si>
    <t>ADJBasementCool</t>
  </si>
  <si>
    <t>ADJBasementHeat</t>
  </si>
  <si>
    <t>Basement Sidewall Insulation (Electric Heat)</t>
  </si>
  <si>
    <t>R_old_AG</t>
  </si>
  <si>
    <t>Illinois Statewide Technical Reference Manual — 5.6.2 Basement Sidewall Insulation</t>
  </si>
  <si>
    <t>RS-SHL-BINS-V14-240101</t>
  </si>
  <si>
    <t>R_added</t>
  </si>
  <si>
    <t>TRM e.g.</t>
  </si>
  <si>
    <t>L_basement_wall_total</t>
  </si>
  <si>
    <t>H_basement_wall_AG</t>
  </si>
  <si>
    <t>Framing_factor</t>
  </si>
  <si>
    <t>Studs and cavity insulation</t>
  </si>
  <si>
    <t>R_old_BG</t>
  </si>
  <si>
    <t>4 ft below grade</t>
  </si>
  <si>
    <t>H_basement_wall_total</t>
  </si>
  <si>
    <t>RS-SHL-RINS-V05-230101</t>
  </si>
  <si>
    <t>Gas High Efficiency Furnace</t>
  </si>
  <si>
    <t>CAPInput</t>
  </si>
  <si>
    <t>Heating Btuh_Existing</t>
  </si>
  <si>
    <t>Illinois Statewide Technical Reference Manual — 5.3.7 Gas High Efficiency Furnace</t>
  </si>
  <si>
    <t>RS-HVC-GHEF-V13-240101</t>
  </si>
  <si>
    <t>Derating(base)</t>
  </si>
  <si>
    <t>AFUE(base)</t>
  </si>
  <si>
    <t>AFUE_Existing</t>
  </si>
  <si>
    <t>Derating(eff)</t>
  </si>
  <si>
    <t>AFUE(eff)</t>
  </si>
  <si>
    <t>AFUE 95%, Full installation cost</t>
  </si>
  <si>
    <t>Illinois Statewide Technical Reference Manual — 5.3.6 Gas High Efficiency Boiler</t>
  </si>
  <si>
    <t>RS-HVC-GHEB-V11-240101</t>
  </si>
  <si>
    <t>Gas High Efficiency Boiler</t>
  </si>
  <si>
    <t>AFUEBase</t>
  </si>
  <si>
    <t>AFUEEff</t>
  </si>
  <si>
    <t>Scenario Selection</t>
  </si>
  <si>
    <t>Option 1</t>
  </si>
  <si>
    <t>Option 2</t>
  </si>
  <si>
    <t>FF Water Heater</t>
  </si>
  <si>
    <t>FF Dryer</t>
  </si>
  <si>
    <t>FF Range</t>
  </si>
  <si>
    <t>Fuel Unit</t>
  </si>
  <si>
    <t>Btu/Fuel Unit</t>
  </si>
  <si>
    <t>lb CO2/Btu</t>
  </si>
  <si>
    <t>Gal</t>
  </si>
  <si>
    <t>MMBtu</t>
  </si>
  <si>
    <t>Electric Customer Class</t>
  </si>
  <si>
    <t>Gas Customer Class</t>
  </si>
  <si>
    <t xml:space="preserve">Heat Pump Water Heater UEF: </t>
  </si>
  <si>
    <t>Gas Bill Savings</t>
  </si>
  <si>
    <t xml:space="preserve">AMIL #: </t>
  </si>
  <si>
    <t xml:space="preserve">Address: </t>
  </si>
  <si>
    <t xml:space="preserve">City: </t>
  </si>
  <si>
    <t xml:space="preserve">ZIP: </t>
  </si>
  <si>
    <t>Detailed gas and electric bill savings. Gas savings are positive due to eliminating the gas water heater. Electric savings are negative due to the electric use of the HPWH.</t>
  </si>
  <si>
    <r>
      <rPr>
        <b/>
        <sz val="8"/>
        <color rgb="FF231F20"/>
        <rFont val="Calibri"/>
        <family val="2"/>
      </rPr>
      <t xml:space="preserve">1. Definitions – </t>
    </r>
    <r>
      <rPr>
        <sz val="8"/>
        <color rgb="FF231F20"/>
        <rFont val="Calibri"/>
        <family val="2"/>
      </rPr>
      <t xml:space="preserve">In addition to terms defined elsewhere herein, when any one of the following terms is used in these Terms and Conditions, wherein the first letter is written with a capital letter, then that term shall have the following definition. Words importing persons include corporation, and words importing only the singular include the plural and vice versa when the context requires. </t>
    </r>
    <r>
      <rPr>
        <b/>
        <sz val="8"/>
        <color rgb="FF231F20"/>
        <rFont val="Calibri"/>
        <family val="2"/>
      </rPr>
      <t xml:space="preserve">a) “Ameren Illinois” </t>
    </r>
    <r>
      <rPr>
        <sz val="8"/>
        <color rgb="FF231F20"/>
        <rFont val="Calibri"/>
        <family val="2"/>
      </rPr>
      <t xml:space="preserve">shall mean Ameren Illinois Company d/b/a Ameren Illinois. </t>
    </r>
    <r>
      <rPr>
        <b/>
        <sz val="8"/>
        <color rgb="FF231F20"/>
        <rFont val="Calibri"/>
        <family val="2"/>
      </rPr>
      <t>b) “Program Ally”</t>
    </r>
    <r>
      <rPr>
        <sz val="8"/>
        <color rgb="FF231F20"/>
        <rFont val="Calibri"/>
        <family val="2"/>
      </rPr>
      <t xml:space="preserve"> shall mean contractors/allies who have met the minimum qualifications established by Ameren Illinois and are allowed to offer program incentives. </t>
    </r>
    <r>
      <rPr>
        <b/>
        <sz val="8"/>
        <color rgb="FF231F20"/>
        <rFont val="Calibri"/>
        <family val="2"/>
      </rPr>
      <t xml:space="preserve">c) “Application” </t>
    </r>
    <r>
      <rPr>
        <sz val="8"/>
        <color rgb="FF231F20"/>
        <rFont val="Calibri"/>
        <family val="2"/>
      </rPr>
      <t xml:space="preserve">shall mean the Customer or Program Ally completed document used to apply for cash incentives or used for any other appropriate application-specific documentation. </t>
    </r>
    <r>
      <rPr>
        <b/>
        <sz val="8"/>
        <color rgb="FF231F20"/>
        <rFont val="Calibri"/>
        <family val="2"/>
      </rPr>
      <t>d) “Customer”</t>
    </r>
    <r>
      <rPr>
        <sz val="8"/>
        <color rgb="FF231F20"/>
        <rFont val="Calibri"/>
        <family val="2"/>
      </rPr>
      <t xml:space="preserve"> shall mean an Eligible Customer who has submitted an Application for incentive money using their Ameren Illinois account number. The Customer abides by these Terms and Conditions upon acceptance of Customer’s Application by Ameren Illinois. </t>
    </r>
    <r>
      <rPr>
        <b/>
        <sz val="8"/>
        <color rgb="FF231F20"/>
        <rFont val="Calibri"/>
        <family val="2"/>
      </rPr>
      <t>e) “Eligible Customer”</t>
    </r>
    <r>
      <rPr>
        <sz val="8"/>
        <color rgb="FF231F20"/>
        <rFont val="Calibri"/>
        <family val="2"/>
      </rPr>
      <t xml:space="preserve"> shall mean a residential customer of Ameren Illinois, with an active Ameren Illinois-delivered electric or gas account residing in an existing home or new construction. Individually metered residential multifamily units must have prior program approval to participate. Installations are eligible for incentives until incentive funds are exhausted. Equipment and/or materials must be installed by a participating Program Ally at the Customer's address listed on the application. The Application must be filled out completely and accurately, signed and accompanied by dated copies of the invoices. See the project/measure eligibility for requirements specific to individual incentives. </t>
    </r>
    <r>
      <rPr>
        <b/>
        <sz val="8"/>
        <color rgb="FF231F20"/>
        <rFont val="Calibri"/>
        <family val="2"/>
      </rPr>
      <t>f) “Program”</t>
    </r>
    <r>
      <rPr>
        <sz val="8"/>
        <color rgb="FF231F20"/>
        <rFont val="Calibri"/>
        <family val="2"/>
      </rPr>
      <t xml:space="preserve"> shall mean the energy efficiency plan or measure that is the subject of the Application. </t>
    </r>
    <r>
      <rPr>
        <b/>
        <sz val="8"/>
        <color rgb="FF231F20"/>
        <rFont val="Calibri"/>
        <family val="2"/>
      </rPr>
      <t>g) “Program</t>
    </r>
    <r>
      <rPr>
        <sz val="8"/>
        <color rgb="FF231F20"/>
        <rFont val="Calibri"/>
        <family val="2"/>
      </rPr>
      <t xml:space="preserve"> </t>
    </r>
    <r>
      <rPr>
        <b/>
        <sz val="8"/>
        <color rgb="FF231F20"/>
        <rFont val="Calibri"/>
        <family val="2"/>
      </rPr>
      <t>Manager”</t>
    </r>
    <r>
      <rPr>
        <sz val="8"/>
        <color rgb="FF231F20"/>
        <rFont val="Calibri"/>
        <family val="2"/>
      </rPr>
      <t xml:space="preserve"> shall mean the Ameren Illinois designee in charge of the Application. </t>
    </r>
    <r>
      <rPr>
        <b/>
        <sz val="8"/>
        <color rgb="FF231F20"/>
        <rFont val="Calibri"/>
        <family val="2"/>
      </rPr>
      <t>h) “Reservation of Funds”</t>
    </r>
    <r>
      <rPr>
        <sz val="8"/>
        <color rgb="FF231F20"/>
        <rFont val="Calibri"/>
        <family val="2"/>
      </rPr>
      <t>, when required, shall mean written notification to Program Ally of a pre-approved incentive amount, which Ameren Illinois issues after review Program Ally’s request for funds.</t>
    </r>
  </si>
  <si>
    <t>PY2024 Gas to Electric Water Heater Bill Analysis</t>
  </si>
  <si>
    <t xml:space="preserve">   This home requires a load increase/metering upgrade for electrical service to complete the project.</t>
  </si>
  <si>
    <t xml:space="preserve">   If applicable, the load increase service date provided by the field engineer:</t>
  </si>
  <si>
    <t xml:space="preserve">Heat Pump Water Heater Storage Volume (in gallons): </t>
  </si>
  <si>
    <t>UEFBASE Formulas:</t>
  </si>
  <si>
    <t>Estimated Yearly Bill Savings</t>
  </si>
  <si>
    <t>Estimated Monthly Bill Savings</t>
  </si>
  <si>
    <t>Attic Insulation
[R12 - R19 to R49 or Greater]</t>
  </si>
  <si>
    <t>Attic Insulation R20-R49</t>
  </si>
  <si>
    <t>Attic Insulation - R12-R19 (Improved to R49 or greater)</t>
  </si>
  <si>
    <t>Attic Insulation - R20-R30 (Improved to R49 or greater)</t>
  </si>
  <si>
    <t>April</t>
  </si>
  <si>
    <t>Added language to the Electrification tab</t>
  </si>
  <si>
    <t>Added WH Bill Analysis tab for gas water heater to HPWH measure</t>
  </si>
  <si>
    <t>To support the expanded heat pump installation, added the R20-R30 attic insulation measure to Work Scope tab. Added to Project Score.</t>
  </si>
  <si>
    <t>Enhanced Air Sealing Stipend</t>
  </si>
  <si>
    <t>Attic Insulation - Preapproved only
[R20 - R30 to R49 or Greater]</t>
  </si>
  <si>
    <t>For pre-approved electric only projects. Install additional weatherstripping and caulking throughout the home. Photographs of enhanced measures required.</t>
  </si>
  <si>
    <t>For pre-approved electric only projects. Includes blown cellulose or fiberglass insulation on flat or sloped surfaces of attics that meet program requirements for a financial incentive.  Includes installation of baffles and any needed blocking or dams including but not limited to areas around attic accesses of any type, porches, whole-house fans, metal flues, masonry chimneys, and other high-temperature penetrations.  Flat areas include areas above knee walls and areas behind knee walls.</t>
  </si>
  <si>
    <t>Added Air Sealing Stipend measure for HP expansion</t>
  </si>
  <si>
    <t>Rev 4.0</t>
  </si>
  <si>
    <t>PY2024 Rev. 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</si>
</sst>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00000\-00000"/>
    <numFmt numFmtId="165" formatCode="&quot;$&quot;#,##0.00"/>
    <numFmt numFmtId="166" formatCode="0.0"/>
    <numFmt numFmtId="167" formatCode="0.0%"/>
    <numFmt numFmtId="168" formatCode="_(&quot;$&quot;* #,##0_);_(&quot;$&quot;* \(#,##0\);_(&quot;$&quot;* &quot;-&quot;??_);_(@_)"/>
    <numFmt numFmtId="169" formatCode="&quot;$&quot;#,##0"/>
    <numFmt numFmtId="170" formatCode="0.0_);\(0.0\)"/>
    <numFmt numFmtId="171" formatCode="_(* #,##0_);_(* \(#,##0\);_(* &quot;-&quot;??_);_(@_)"/>
    <numFmt numFmtId="172" formatCode="#&quot; CFM&quot;"/>
    <numFmt numFmtId="173" formatCode="00000"/>
    <numFmt numFmtId="174" formatCode="#,##0.0000"/>
    <numFmt numFmtId="175" formatCode="0.0000000"/>
    <numFmt numFmtId="176" formatCode="#,##0.000000_);[Red]\(#,##0.000000\)"/>
  </numFmts>
  <fonts count="116">
    <font>
      <sz val="11"/>
      <color theme="1"/>
      <name val="Calibri"/>
      <family val="2"/>
      <scheme val="minor"/>
    </font>
    <font>
      <b/>
      <sz val="11"/>
      <color theme="1"/>
      <name val="Calibri"/>
      <family val="2"/>
      <scheme val="minor"/>
    </font>
    <font>
      <b/>
      <sz val="18"/>
      <color theme="1"/>
      <name val="Calibri"/>
      <family val="2"/>
      <scheme val="minor"/>
    </font>
    <font>
      <sz val="8"/>
      <color theme="1"/>
      <name val="Calibri"/>
      <family val="2"/>
      <scheme val="minor"/>
    </font>
    <font>
      <b/>
      <sz val="16"/>
      <color theme="1"/>
      <name val="Calibri"/>
      <family val="2"/>
      <scheme val="minor"/>
    </font>
    <font>
      <sz val="12"/>
      <color theme="1"/>
      <name val="Calibri"/>
      <family val="2"/>
      <scheme val="minor"/>
    </font>
    <font>
      <b/>
      <sz val="8"/>
      <color theme="1"/>
      <name val="Calibri"/>
      <family val="2"/>
      <scheme val="minor"/>
    </font>
    <font>
      <b/>
      <i/>
      <sz val="8"/>
      <color theme="1"/>
      <name val="Calibri"/>
      <family val="2"/>
      <scheme val="minor"/>
    </font>
    <font>
      <b/>
      <sz val="11"/>
      <color rgb="FF439539"/>
      <name val="Calibri"/>
      <family val="2"/>
      <scheme val="minor"/>
    </font>
    <font>
      <b/>
      <sz val="9"/>
      <color rgb="FF439539"/>
      <name val="Calibri"/>
      <family val="2"/>
      <scheme val="minor"/>
    </font>
    <font>
      <b/>
      <sz val="12"/>
      <color theme="0"/>
      <name val="Calibri"/>
      <family val="2"/>
      <scheme val="minor"/>
    </font>
    <font>
      <u/>
      <sz val="11"/>
      <color theme="10"/>
      <name val="Calibri"/>
      <family val="2"/>
      <scheme val="minor"/>
    </font>
    <font>
      <sz val="8"/>
      <name val="Calibri"/>
      <family val="2"/>
      <scheme val="minor"/>
    </font>
    <font>
      <b/>
      <sz val="12"/>
      <color theme="1"/>
      <name val="Calibri"/>
      <family val="2"/>
      <scheme val="minor"/>
    </font>
    <font>
      <b/>
      <sz val="8"/>
      <name val="Calibri"/>
      <family val="2"/>
      <scheme val="minor"/>
    </font>
    <font>
      <sz val="11"/>
      <color theme="1"/>
      <name val="Calibri"/>
      <family val="2"/>
      <scheme val="minor"/>
    </font>
    <font>
      <sz val="9"/>
      <color theme="1"/>
      <name val="Calibri"/>
      <family val="2"/>
      <scheme val="minor"/>
    </font>
    <font>
      <b/>
      <sz val="9"/>
      <color theme="1"/>
      <name val="Calibri"/>
      <family val="2"/>
      <scheme val="minor"/>
    </font>
    <font>
      <b/>
      <sz val="9"/>
      <name val="Calibri"/>
      <family val="2"/>
      <scheme val="minor"/>
    </font>
    <font>
      <sz val="9"/>
      <name val="Calibri"/>
      <family val="2"/>
      <scheme val="minor"/>
    </font>
    <font>
      <sz val="10"/>
      <color rgb="FF000000"/>
      <name val="Times New Roman"/>
      <family val="1"/>
    </font>
    <font>
      <b/>
      <sz val="12"/>
      <color rgb="FFFFFFFF"/>
      <name val="Calibri"/>
      <family val="2"/>
    </font>
    <font>
      <b/>
      <sz val="10"/>
      <color theme="1"/>
      <name val="Calibri"/>
      <family val="2"/>
      <scheme val="minor"/>
    </font>
    <font>
      <b/>
      <sz val="12"/>
      <color rgb="FF000000"/>
      <name val="Calibri"/>
      <family val="2"/>
      <scheme val="minor"/>
    </font>
    <font>
      <sz val="10"/>
      <color rgb="FF000000"/>
      <name val="Calibri"/>
      <family val="2"/>
      <scheme val="minor"/>
    </font>
    <font>
      <b/>
      <sz val="11"/>
      <color rgb="FF000000"/>
      <name val="Calibri"/>
      <family val="2"/>
      <scheme val="minor"/>
    </font>
    <font>
      <b/>
      <sz val="11"/>
      <color rgb="FF000000"/>
      <name val="Times New Roman"/>
      <family val="1"/>
    </font>
    <font>
      <sz val="9"/>
      <color rgb="FF000000"/>
      <name val="Calibri"/>
      <family val="2"/>
      <scheme val="minor"/>
    </font>
    <font>
      <sz val="8"/>
      <color rgb="FF000000"/>
      <name val="Calibri"/>
      <family val="2"/>
      <scheme val="minor"/>
    </font>
    <font>
      <b/>
      <i/>
      <sz val="9"/>
      <color rgb="FF000000"/>
      <name val="Calibri"/>
      <family val="2"/>
    </font>
    <font>
      <i/>
      <sz val="9"/>
      <color rgb="FF000000"/>
      <name val="Calibri"/>
      <family val="2"/>
    </font>
    <font>
      <sz val="10"/>
      <color theme="1"/>
      <name val="Calibri"/>
      <family val="2"/>
      <scheme val="minor"/>
    </font>
    <font>
      <b/>
      <sz val="11"/>
      <color theme="0"/>
      <name val="Calibri"/>
      <family val="2"/>
      <scheme val="minor"/>
    </font>
    <font>
      <sz val="11"/>
      <color theme="0"/>
      <name val="Calibri"/>
      <family val="2"/>
      <scheme val="minor"/>
    </font>
    <font>
      <b/>
      <sz val="11"/>
      <name val="Calibri"/>
      <family val="2"/>
      <scheme val="minor"/>
    </font>
    <font>
      <b/>
      <u/>
      <sz val="11"/>
      <name val="Calibri"/>
      <family val="2"/>
      <scheme val="minor"/>
    </font>
    <font>
      <sz val="11"/>
      <name val="Calibri"/>
      <family val="2"/>
      <scheme val="minor"/>
    </font>
    <font>
      <sz val="10"/>
      <name val="Arial"/>
      <family val="2"/>
    </font>
    <font>
      <i/>
      <sz val="11"/>
      <name val="Calibri"/>
      <family val="2"/>
      <scheme val="minor"/>
    </font>
    <font>
      <b/>
      <i/>
      <sz val="10"/>
      <name val="Calibri"/>
      <family val="2"/>
      <scheme val="minor"/>
    </font>
    <font>
      <b/>
      <sz val="11"/>
      <color rgb="FFFF0000"/>
      <name val="Calibri"/>
      <family val="2"/>
      <scheme val="minor"/>
    </font>
    <font>
      <sz val="11"/>
      <color rgb="FF000000"/>
      <name val="Calibri"/>
      <family val="2"/>
      <scheme val="minor"/>
    </font>
    <font>
      <sz val="9"/>
      <color indexed="81"/>
      <name val="Tahoma"/>
      <family val="2"/>
    </font>
    <font>
      <b/>
      <sz val="10"/>
      <name val="Calibri"/>
      <family val="2"/>
      <scheme val="minor"/>
    </font>
    <font>
      <b/>
      <sz val="10"/>
      <name val="Calibri"/>
      <family val="2"/>
    </font>
    <font>
      <sz val="10"/>
      <name val="Calibri"/>
      <family val="2"/>
    </font>
    <font>
      <i/>
      <sz val="10"/>
      <name val="Calibri"/>
      <family val="2"/>
      <scheme val="minor"/>
    </font>
    <font>
      <sz val="10"/>
      <name val="Calibri"/>
      <family val="2"/>
      <scheme val="minor"/>
    </font>
    <font>
      <b/>
      <sz val="14"/>
      <color theme="1"/>
      <name val="Calibri"/>
      <family val="2"/>
      <scheme val="minor"/>
    </font>
    <font>
      <sz val="8"/>
      <color theme="0"/>
      <name val="Calibri"/>
      <family val="2"/>
      <scheme val="minor"/>
    </font>
    <font>
      <b/>
      <i/>
      <sz val="10"/>
      <color theme="1"/>
      <name val="Calibri"/>
      <family val="2"/>
      <scheme val="minor"/>
    </font>
    <font>
      <sz val="10"/>
      <color theme="1"/>
      <name val="Univers Condensed"/>
      <family val="2"/>
    </font>
    <font>
      <sz val="11"/>
      <color theme="1" tint="0.34998626667073579"/>
      <name val="Calibri"/>
      <family val="2"/>
      <scheme val="minor"/>
    </font>
    <font>
      <b/>
      <sz val="11"/>
      <color theme="1" tint="0.34998626667073579"/>
      <name val="Calibri"/>
      <family val="2"/>
      <scheme val="minor"/>
    </font>
    <font>
      <sz val="9"/>
      <color theme="1" tint="0.34998626667073579"/>
      <name val="Calibri"/>
      <family val="2"/>
      <scheme val="minor"/>
    </font>
    <font>
      <b/>
      <sz val="16"/>
      <color rgb="FF00B050"/>
      <name val="Arial Rounded MT Bold"/>
      <family val="2"/>
    </font>
    <font>
      <b/>
      <sz val="11"/>
      <color rgb="FF0070C0"/>
      <name val="Calibri"/>
      <family val="2"/>
      <scheme val="minor"/>
    </font>
    <font>
      <b/>
      <u/>
      <sz val="11"/>
      <color theme="1"/>
      <name val="Calibri"/>
      <family val="2"/>
      <scheme val="minor"/>
    </font>
    <font>
      <b/>
      <sz val="12"/>
      <name val="Calibri"/>
      <family val="2"/>
      <scheme val="minor"/>
    </font>
    <font>
      <b/>
      <sz val="10"/>
      <color rgb="FF000000"/>
      <name val="Calibri"/>
      <family val="2"/>
      <scheme val="minor"/>
    </font>
    <font>
      <b/>
      <sz val="10"/>
      <color rgb="FF439539"/>
      <name val="Calibri"/>
      <family val="2"/>
      <scheme val="minor"/>
    </font>
    <font>
      <b/>
      <sz val="10"/>
      <color rgb="FF439539"/>
      <name val="Calibri"/>
      <family val="2"/>
    </font>
    <font>
      <b/>
      <sz val="10"/>
      <color rgb="FFFFC000"/>
      <name val="Calibri"/>
      <family val="2"/>
      <scheme val="minor"/>
    </font>
    <font>
      <b/>
      <sz val="10"/>
      <color rgb="FFFF0000"/>
      <name val="Calibri"/>
      <family val="2"/>
      <scheme val="minor"/>
    </font>
    <font>
      <u/>
      <sz val="10"/>
      <color theme="10"/>
      <name val="Calibri"/>
      <family val="2"/>
      <scheme val="minor"/>
    </font>
    <font>
      <b/>
      <sz val="19"/>
      <color theme="1"/>
      <name val="Calibri"/>
      <family val="2"/>
      <scheme val="minor"/>
    </font>
    <font>
      <sz val="7"/>
      <color theme="1"/>
      <name val="Calibri"/>
      <family val="2"/>
      <scheme val="minor"/>
    </font>
    <font>
      <sz val="8"/>
      <color rgb="FF231F20"/>
      <name val="Calibri"/>
      <family val="2"/>
      <scheme val="minor"/>
    </font>
    <font>
      <sz val="7.5"/>
      <color rgb="FF231F20"/>
      <name val="Calibri"/>
      <family val="2"/>
      <scheme val="minor"/>
    </font>
    <font>
      <b/>
      <sz val="8"/>
      <color rgb="FF231F20"/>
      <name val="Calibri"/>
      <family val="2"/>
      <scheme val="minor"/>
    </font>
    <font>
      <i/>
      <sz val="8"/>
      <color rgb="FF231F20"/>
      <name val="Calibri"/>
      <family val="2"/>
      <scheme val="minor"/>
    </font>
    <font>
      <u/>
      <sz val="8"/>
      <color theme="1"/>
      <name val="Calibri"/>
      <family val="2"/>
      <scheme val="minor"/>
    </font>
    <font>
      <sz val="8"/>
      <color rgb="FF231F20"/>
      <name val="Calibri"/>
      <family val="2"/>
    </font>
    <font>
      <b/>
      <sz val="8"/>
      <color rgb="FF231F20"/>
      <name val="Calibri"/>
      <family val="2"/>
    </font>
    <font>
      <i/>
      <sz val="8"/>
      <color rgb="FF231F20"/>
      <name val="Calibri"/>
      <family val="2"/>
    </font>
    <font>
      <sz val="8"/>
      <name val="Calibri"/>
      <family val="2"/>
    </font>
    <font>
      <sz val="9"/>
      <color rgb="FF231F20"/>
      <name val="Century Gothic"/>
      <family val="2"/>
    </font>
    <font>
      <i/>
      <sz val="8"/>
      <color theme="1"/>
      <name val="Calibri"/>
      <family val="2"/>
      <scheme val="minor"/>
    </font>
    <font>
      <b/>
      <sz val="18"/>
      <color theme="1"/>
      <name val="Arial"/>
      <family val="2"/>
    </font>
    <font>
      <b/>
      <sz val="16"/>
      <color theme="1"/>
      <name val="Arial"/>
      <family val="2"/>
    </font>
    <font>
      <sz val="7.9"/>
      <color theme="1"/>
      <name val="Calibri"/>
      <family val="2"/>
      <scheme val="minor"/>
    </font>
    <font>
      <b/>
      <sz val="8"/>
      <color theme="0"/>
      <name val="Calibri"/>
      <family val="2"/>
      <scheme val="minor"/>
    </font>
    <font>
      <b/>
      <sz val="8"/>
      <color rgb="FF439539"/>
      <name val="Calibri"/>
      <family val="2"/>
      <scheme val="minor"/>
    </font>
    <font>
      <sz val="7.5"/>
      <name val="Calibri"/>
      <family val="2"/>
      <scheme val="minor"/>
    </font>
    <font>
      <sz val="7.5"/>
      <color theme="1"/>
      <name val="Calibri"/>
      <family val="2"/>
      <scheme val="minor"/>
    </font>
    <font>
      <sz val="5"/>
      <color theme="1"/>
      <name val="Calibri"/>
      <family val="2"/>
      <scheme val="minor"/>
    </font>
    <font>
      <sz val="5.5"/>
      <color theme="1"/>
      <name val="Calibri"/>
      <family val="2"/>
      <scheme val="minor"/>
    </font>
    <font>
      <b/>
      <sz val="8"/>
      <color rgb="FF439539"/>
      <name val="Arial"/>
      <family val="2"/>
    </font>
    <font>
      <b/>
      <sz val="7.5"/>
      <name val="Arial"/>
      <family val="2"/>
    </font>
    <font>
      <sz val="7.5"/>
      <name val="Arial"/>
      <family val="2"/>
    </font>
    <font>
      <sz val="7"/>
      <name val="Arial"/>
      <family val="2"/>
    </font>
    <font>
      <b/>
      <sz val="12"/>
      <color rgb="FF439539"/>
      <name val="Calibri"/>
      <family val="2"/>
      <scheme val="minor"/>
    </font>
    <font>
      <b/>
      <sz val="7"/>
      <color rgb="FF439539"/>
      <name val="Calibri"/>
      <family val="2"/>
      <scheme val="minor"/>
    </font>
    <font>
      <vertAlign val="subscript"/>
      <sz val="8"/>
      <color theme="1"/>
      <name val="Calibri"/>
      <family val="2"/>
      <scheme val="minor"/>
    </font>
    <font>
      <b/>
      <sz val="7.5"/>
      <color rgb="FF439539"/>
      <name val="Calibri"/>
      <family val="2"/>
      <scheme val="minor"/>
    </font>
    <font>
      <sz val="6"/>
      <color theme="1"/>
      <name val="Calibri"/>
      <family val="2"/>
      <scheme val="minor"/>
    </font>
    <font>
      <sz val="8"/>
      <color theme="1"/>
      <name val="Calibri"/>
      <family val="2"/>
    </font>
    <font>
      <b/>
      <sz val="9"/>
      <color indexed="81"/>
      <name val="Tahoma"/>
      <family val="2"/>
    </font>
    <font>
      <i/>
      <sz val="9"/>
      <color rgb="FF231F20"/>
      <name val="Times New Roman"/>
      <family val="1"/>
    </font>
    <font>
      <b/>
      <sz val="8"/>
      <color rgb="FFFF0000"/>
      <name val="Calibri"/>
      <family val="2"/>
      <scheme val="minor"/>
    </font>
    <font>
      <sz val="10"/>
      <color rgb="FF439539"/>
      <name val="Calibri"/>
      <family val="2"/>
      <scheme val="minor"/>
    </font>
    <font>
      <sz val="7"/>
      <name val="Calibri"/>
      <family val="2"/>
      <scheme val="minor"/>
    </font>
    <font>
      <i/>
      <vertAlign val="subscript"/>
      <sz val="8"/>
      <color theme="1"/>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indexed="8"/>
      <name val="Calibri"/>
      <family val="2"/>
      <scheme val="minor"/>
    </font>
    <font>
      <sz val="10"/>
      <color rgb="FF006100"/>
      <name val="Calibri"/>
      <family val="2"/>
      <scheme val="minor"/>
    </font>
    <font>
      <sz val="10"/>
      <color theme="0"/>
      <name val="Calibri"/>
      <family val="2"/>
      <scheme val="minor"/>
    </font>
    <font>
      <sz val="10"/>
      <color rgb="FF9C0006"/>
      <name val="Calibri"/>
      <family val="2"/>
      <scheme val="minor"/>
    </font>
    <font>
      <i/>
      <sz val="10"/>
      <color theme="1"/>
      <name val="Calibri"/>
      <family val="2"/>
      <scheme val="minor"/>
    </font>
    <font>
      <b/>
      <sz val="10"/>
      <color rgb="FF000000"/>
      <name val="Times New Roman"/>
      <family val="1"/>
    </font>
    <font>
      <sz val="11"/>
      <color rgb="FFDDDDDD"/>
      <name val="Calibri"/>
      <family val="2"/>
      <scheme val="minor"/>
    </font>
    <font>
      <b/>
      <i/>
      <sz val="10"/>
      <color rgb="FF000000"/>
      <name val="Calibri"/>
      <family val="2"/>
    </font>
  </fonts>
  <fills count="30">
    <fill>
      <patternFill patternType="none"/>
    </fill>
    <fill>
      <patternFill patternType="gray125"/>
    </fill>
    <fill>
      <patternFill patternType="solid">
        <fgColor rgb="FFC7DCBF"/>
        <bgColor indexed="64"/>
      </patternFill>
    </fill>
    <fill>
      <patternFill patternType="solid">
        <fgColor rgb="FF439539"/>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FFC000"/>
        <bgColor indexed="64"/>
      </patternFill>
    </fill>
    <fill>
      <patternFill patternType="solid">
        <fgColor rgb="FF92D050"/>
        <bgColor indexed="64"/>
      </patternFill>
    </fill>
    <fill>
      <patternFill patternType="solid">
        <fgColor theme="3" tint="0.79998168889431442"/>
        <bgColor indexed="64"/>
      </patternFill>
    </fill>
    <fill>
      <patternFill patternType="solid">
        <fgColor rgb="FFCFEBCB"/>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FFFF0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rgb="FFFFFFCD"/>
        <bgColor indexed="64"/>
      </patternFill>
    </fill>
    <fill>
      <patternFill patternType="solid">
        <fgColor theme="7" tint="0.79998168889431442"/>
        <bgColor indexed="64"/>
      </patternFill>
    </fill>
    <fill>
      <patternFill patternType="solid">
        <fgColor rgb="FFFFFFCC"/>
        <bgColor indexed="64"/>
      </patternFill>
    </fill>
    <fill>
      <patternFill patternType="solid">
        <fgColor rgb="FFFFFFFF"/>
        <bgColor rgb="FF008000"/>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theme="3"/>
        <bgColor indexed="64"/>
      </patternFill>
    </fill>
    <fill>
      <patternFill patternType="solid">
        <fgColor theme="3" tint="0.39997558519241921"/>
        <bgColor indexed="64"/>
      </patternFill>
    </fill>
    <fill>
      <patternFill patternType="solid">
        <fgColor rgb="FF000000"/>
        <bgColor indexed="64"/>
      </patternFill>
    </fill>
  </fills>
  <borders count="1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auto="1"/>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style="medium">
        <color auto="1"/>
      </bottom>
      <diagonal/>
    </border>
    <border>
      <left/>
      <right style="thin">
        <color indexed="64"/>
      </right>
      <top style="thin">
        <color indexed="64"/>
      </top>
      <bottom style="medium">
        <color auto="1"/>
      </bottom>
      <diagonal/>
    </border>
    <border>
      <left/>
      <right style="medium">
        <color auto="1"/>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right/>
      <top style="medium">
        <color auto="1"/>
      </top>
      <bottom style="medium">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auto="1"/>
      </left>
      <right/>
      <top style="double">
        <color indexed="64"/>
      </top>
      <bottom style="medium">
        <color auto="1"/>
      </bottom>
      <diagonal/>
    </border>
    <border>
      <left/>
      <right/>
      <top style="double">
        <color indexed="64"/>
      </top>
      <bottom style="medium">
        <color auto="1"/>
      </bottom>
      <diagonal/>
    </border>
    <border>
      <left/>
      <right style="thin">
        <color indexed="64"/>
      </right>
      <top style="double">
        <color indexed="64"/>
      </top>
      <bottom style="medium">
        <color auto="1"/>
      </bottom>
      <diagonal/>
    </border>
    <border>
      <left/>
      <right style="thin">
        <color theme="0" tint="-0.249977111117893"/>
      </right>
      <top/>
      <bottom style="thin">
        <color auto="1"/>
      </bottom>
      <diagonal/>
    </border>
    <border>
      <left style="thin">
        <color theme="0" tint="-0.249977111117893"/>
      </left>
      <right/>
      <top/>
      <bottom style="thin">
        <color indexed="64"/>
      </bottom>
      <diagonal/>
    </border>
    <border>
      <left style="thin">
        <color theme="0" tint="-0.249977111117893"/>
      </left>
      <right style="thin">
        <color theme="0" tint="-0.249977111117893"/>
      </right>
      <top/>
      <bottom style="thin">
        <color auto="1"/>
      </bottom>
      <diagonal/>
    </border>
    <border>
      <left style="thin">
        <color theme="0" tint="-0.249977111117893"/>
      </left>
      <right style="thin">
        <color theme="0" tint="-0.249977111117893"/>
      </right>
      <top style="thin">
        <color auto="1"/>
      </top>
      <bottom style="thin">
        <color indexed="64"/>
      </bottom>
      <diagonal/>
    </border>
    <border>
      <left style="thin">
        <color theme="0" tint="-0.249977111117893"/>
      </left>
      <right/>
      <top style="thin">
        <color indexed="64"/>
      </top>
      <bottom style="thin">
        <color indexed="64"/>
      </bottom>
      <diagonal/>
    </border>
    <border>
      <left style="thin">
        <color auto="1"/>
      </left>
      <right style="thin">
        <color theme="0" tint="-0.249977111117893"/>
      </right>
      <top style="thin">
        <color auto="1"/>
      </top>
      <bottom style="thin">
        <color indexed="64"/>
      </bottom>
      <diagonal/>
    </border>
    <border>
      <left/>
      <right style="thin">
        <color theme="0" tint="-0.249977111117893"/>
      </right>
      <top style="thin">
        <color auto="1"/>
      </top>
      <bottom style="thin">
        <color indexed="64"/>
      </bottom>
      <diagonal/>
    </border>
    <border>
      <left style="thin">
        <color auto="1"/>
      </left>
      <right style="thin">
        <color theme="0" tint="-0.249977111117893"/>
      </right>
      <top/>
      <bottom style="thin">
        <color indexed="64"/>
      </bottom>
      <diagonal/>
    </border>
    <border>
      <left style="thin">
        <color indexed="64"/>
      </left>
      <right/>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top style="thin">
        <color theme="0" tint="-0.249977111117893"/>
      </top>
      <bottom/>
      <diagonal/>
    </border>
    <border>
      <left style="thin">
        <color theme="0" tint="-0.249977111117893"/>
      </left>
      <right style="thin">
        <color theme="0" tint="-0.249977111117893"/>
      </right>
      <top style="thin">
        <color theme="0" tint="-0.249977111117893"/>
      </top>
      <bottom style="thin">
        <color auto="1"/>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rgb="FF439539"/>
      </left>
      <right/>
      <top/>
      <bottom/>
      <diagonal/>
    </border>
    <border>
      <left/>
      <right style="thin">
        <color rgb="FF439539"/>
      </right>
      <top/>
      <bottom/>
      <diagonal/>
    </border>
    <border>
      <left/>
      <right/>
      <top/>
      <bottom style="double">
        <color indexed="64"/>
      </bottom>
      <diagonal/>
    </border>
    <border>
      <left style="thin">
        <color rgb="FF439539"/>
      </left>
      <right/>
      <top/>
      <bottom style="thin">
        <color indexed="64"/>
      </bottom>
      <diagonal/>
    </border>
    <border>
      <left/>
      <right style="thin">
        <color rgb="FF439539"/>
      </right>
      <top/>
      <bottom style="thin">
        <color indexed="64"/>
      </bottom>
      <diagonal/>
    </border>
    <border>
      <left/>
      <right/>
      <top style="double">
        <color indexed="64"/>
      </top>
      <bottom/>
      <diagonal/>
    </border>
    <border>
      <left style="thin">
        <color indexed="64"/>
      </left>
      <right/>
      <top/>
      <bottom style="double">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439539"/>
      </left>
      <right/>
      <top style="thin">
        <color rgb="FF439539"/>
      </top>
      <bottom style="thin">
        <color rgb="FF439539"/>
      </bottom>
      <diagonal/>
    </border>
    <border>
      <left/>
      <right/>
      <top style="thin">
        <color rgb="FF439539"/>
      </top>
      <bottom style="thin">
        <color rgb="FF439539"/>
      </bottom>
      <diagonal/>
    </border>
    <border>
      <left/>
      <right style="thin">
        <color rgb="FF439539"/>
      </right>
      <top style="thin">
        <color rgb="FF439539"/>
      </top>
      <bottom style="thin">
        <color rgb="FF439539"/>
      </bottom>
      <diagonal/>
    </border>
    <border>
      <left style="thin">
        <color rgb="FF439539"/>
      </left>
      <right/>
      <top style="thin">
        <color rgb="FF439539"/>
      </top>
      <bottom/>
      <diagonal/>
    </border>
    <border>
      <left/>
      <right/>
      <top style="thin">
        <color rgb="FF439539"/>
      </top>
      <bottom/>
      <diagonal/>
    </border>
    <border>
      <left/>
      <right style="thin">
        <color rgb="FF439539"/>
      </right>
      <top style="thin">
        <color rgb="FF439539"/>
      </top>
      <bottom/>
      <diagonal/>
    </border>
    <border>
      <left style="thin">
        <color rgb="FF439539"/>
      </left>
      <right/>
      <top/>
      <bottom style="thin">
        <color rgb="FF439539"/>
      </bottom>
      <diagonal/>
    </border>
    <border>
      <left/>
      <right/>
      <top/>
      <bottom style="thin">
        <color rgb="FF439539"/>
      </bottom>
      <diagonal/>
    </border>
    <border>
      <left/>
      <right style="thin">
        <color rgb="FF439539"/>
      </right>
      <top/>
      <bottom style="thin">
        <color rgb="FF439539"/>
      </bottom>
      <diagonal/>
    </border>
    <border>
      <left style="thin">
        <color rgb="FF439539"/>
      </left>
      <right style="thin">
        <color rgb="FF439539"/>
      </right>
      <top style="thin">
        <color rgb="FF439539"/>
      </top>
      <bottom style="thin">
        <color rgb="FF439539"/>
      </bottom>
      <diagonal/>
    </border>
    <border>
      <left style="thin">
        <color rgb="FF439539"/>
      </left>
      <right style="thin">
        <color rgb="FF439539"/>
      </right>
      <top style="thin">
        <color rgb="FF439539"/>
      </top>
      <bottom/>
      <diagonal/>
    </border>
    <border>
      <left style="thin">
        <color rgb="FF439539"/>
      </left>
      <right style="thin">
        <color rgb="FF439539"/>
      </right>
      <top/>
      <bottom style="thin">
        <color rgb="FF439539"/>
      </bottom>
      <diagonal/>
    </border>
    <border>
      <left style="thin">
        <color rgb="FF439539"/>
      </left>
      <right style="thin">
        <color rgb="FF439539"/>
      </right>
      <top/>
      <bottom/>
      <diagonal/>
    </border>
    <border>
      <left style="thin">
        <color auto="1"/>
      </left>
      <right/>
      <top style="thin">
        <color rgb="FF008000"/>
      </top>
      <bottom style="medium">
        <color auto="1"/>
      </bottom>
      <diagonal/>
    </border>
    <border>
      <left/>
      <right/>
      <top style="thin">
        <color rgb="FF008000"/>
      </top>
      <bottom style="medium">
        <color auto="1"/>
      </bottom>
      <diagonal/>
    </border>
    <border>
      <left/>
      <right style="thin">
        <color auto="1"/>
      </right>
      <top style="thin">
        <color rgb="FF008000"/>
      </top>
      <bottom style="medium">
        <color indexed="64"/>
      </bottom>
      <diagonal/>
    </border>
    <border>
      <left style="thin">
        <color auto="1"/>
      </left>
      <right/>
      <top style="medium">
        <color auto="1"/>
      </top>
      <bottom/>
      <diagonal/>
    </border>
    <border>
      <left/>
      <right style="thin">
        <color auto="1"/>
      </right>
      <top style="medium">
        <color auto="1"/>
      </top>
      <bottom/>
      <diagonal/>
    </border>
    <border>
      <left style="thin">
        <color rgb="FF439539"/>
      </left>
      <right/>
      <top style="thin">
        <color rgb="FF439539"/>
      </top>
      <bottom style="thin">
        <color rgb="FF008000"/>
      </bottom>
      <diagonal/>
    </border>
    <border>
      <left/>
      <right/>
      <top style="thin">
        <color rgb="FF439539"/>
      </top>
      <bottom style="thin">
        <color rgb="FF008000"/>
      </bottom>
      <diagonal/>
    </border>
    <border>
      <left/>
      <right style="thin">
        <color rgb="FF439539"/>
      </right>
      <top style="thin">
        <color rgb="FF439539"/>
      </top>
      <bottom style="thin">
        <color rgb="FF008000"/>
      </bottom>
      <diagonal/>
    </border>
    <border>
      <left style="thin">
        <color rgb="FF439539"/>
      </left>
      <right/>
      <top style="thin">
        <color rgb="FF439539"/>
      </top>
      <bottom style="medium">
        <color theme="1"/>
      </bottom>
      <diagonal/>
    </border>
    <border>
      <left/>
      <right/>
      <top style="thin">
        <color rgb="FF439539"/>
      </top>
      <bottom style="medium">
        <color theme="1"/>
      </bottom>
      <diagonal/>
    </border>
    <border>
      <left/>
      <right style="thin">
        <color rgb="FF439539"/>
      </right>
      <top style="thin">
        <color rgb="FF439539"/>
      </top>
      <bottom style="medium">
        <color theme="1"/>
      </bottom>
      <diagonal/>
    </border>
    <border>
      <left style="thin">
        <color rgb="FF439539"/>
      </left>
      <right/>
      <top style="medium">
        <color theme="1"/>
      </top>
      <bottom/>
      <diagonal/>
    </border>
    <border>
      <left/>
      <right/>
      <top style="medium">
        <color theme="1"/>
      </top>
      <bottom/>
      <diagonal/>
    </border>
    <border>
      <left/>
      <right style="thin">
        <color rgb="FF439539"/>
      </right>
      <top style="medium">
        <color theme="1"/>
      </top>
      <bottom/>
      <diagonal/>
    </border>
    <border>
      <left style="thin">
        <color rgb="FF439539"/>
      </left>
      <right/>
      <top style="thin">
        <color indexed="64"/>
      </top>
      <bottom/>
      <diagonal/>
    </border>
    <border>
      <left style="thin">
        <color indexed="64"/>
      </left>
      <right/>
      <top/>
      <bottom style="thin">
        <color rgb="FF439539"/>
      </bottom>
      <diagonal/>
    </border>
    <border>
      <left style="thin">
        <color indexed="64"/>
      </left>
      <right/>
      <top style="thin">
        <color rgb="FF439539"/>
      </top>
      <bottom/>
      <diagonal/>
    </border>
    <border>
      <left style="thin">
        <color indexed="64"/>
      </left>
      <right style="medium">
        <color auto="1"/>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rgb="FFC0C0C0"/>
      </left>
      <right/>
      <top/>
      <bottom/>
      <diagonal/>
    </border>
  </borders>
  <cellStyleXfs count="13">
    <xf numFmtId="0" fontId="0" fillId="0" borderId="0"/>
    <xf numFmtId="0" fontId="11" fillId="0" borderId="0" applyNumberFormat="0" applyFill="0" applyBorder="0" applyAlignment="0" applyProtection="0"/>
    <xf numFmtId="44" fontId="15" fillId="0" borderId="0" applyFont="0" applyFill="0" applyBorder="0" applyAlignment="0" applyProtection="0"/>
    <xf numFmtId="9" fontId="15" fillId="0" borderId="0" applyFont="0" applyFill="0" applyBorder="0" applyAlignment="0" applyProtection="0"/>
    <xf numFmtId="0" fontId="20" fillId="0" borderId="0"/>
    <xf numFmtId="0" fontId="37" fillId="0" borderId="0"/>
    <xf numFmtId="43" fontId="15" fillId="0" borderId="0" applyFont="0" applyFill="0" applyBorder="0" applyAlignment="0" applyProtection="0"/>
    <xf numFmtId="0" fontId="103" fillId="23" borderId="0" applyNumberFormat="0" applyBorder="0" applyAlignment="0" applyProtection="0"/>
    <xf numFmtId="0" fontId="104" fillId="24" borderId="0" applyNumberFormat="0" applyBorder="0" applyAlignment="0" applyProtection="0"/>
    <xf numFmtId="0" fontId="105" fillId="25" borderId="120" applyNumberFormat="0" applyAlignment="0" applyProtection="0"/>
    <xf numFmtId="0" fontId="106" fillId="26" borderId="121" applyNumberFormat="0" applyAlignment="0" applyProtection="0"/>
    <xf numFmtId="0" fontId="107" fillId="26" borderId="120" applyNumberFormat="0" applyAlignment="0" applyProtection="0"/>
    <xf numFmtId="0" fontId="108" fillId="0" borderId="0"/>
  </cellStyleXfs>
  <cellXfs count="2029">
    <xf numFmtId="0" fontId="0" fillId="0" borderId="0" xfId="0"/>
    <xf numFmtId="0" fontId="3"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0" fillId="4" borderId="0" xfId="0" applyFill="1"/>
    <xf numFmtId="0" fontId="3" fillId="0" borderId="0" xfId="0" applyFont="1" applyAlignment="1">
      <alignment wrapText="1"/>
    </xf>
    <xf numFmtId="0" fontId="0" fillId="0" borderId="0" xfId="0" applyAlignment="1">
      <alignment horizontal="center"/>
    </xf>
    <xf numFmtId="0" fontId="1" fillId="0" borderId="0" xfId="0" applyFont="1"/>
    <xf numFmtId="9" fontId="0" fillId="0" borderId="0" xfId="0" applyNumberFormat="1"/>
    <xf numFmtId="165" fontId="0" fillId="0" borderId="0" xfId="0" applyNumberFormat="1"/>
    <xf numFmtId="0" fontId="0" fillId="0" borderId="0" xfId="0" quotePrefix="1" applyAlignment="1">
      <alignment horizontal="center"/>
    </xf>
    <xf numFmtId="167" fontId="0" fillId="0" borderId="0" xfId="0" quotePrefix="1" applyNumberFormat="1" applyAlignment="1">
      <alignment horizontal="center"/>
    </xf>
    <xf numFmtId="167" fontId="0" fillId="0" borderId="0" xfId="0" applyNumberFormat="1"/>
    <xf numFmtId="0" fontId="0" fillId="0" borderId="0" xfId="0" applyAlignment="1">
      <alignment horizontal="left"/>
    </xf>
    <xf numFmtId="0" fontId="0" fillId="0" borderId="0" xfId="0" quotePrefix="1"/>
    <xf numFmtId="44" fontId="0" fillId="0" borderId="0" xfId="2" applyFont="1"/>
    <xf numFmtId="167" fontId="0" fillId="0" borderId="0" xfId="3" applyNumberFormat="1" applyFont="1"/>
    <xf numFmtId="44" fontId="0" fillId="0" borderId="0" xfId="0" applyNumberFormat="1"/>
    <xf numFmtId="0" fontId="16" fillId="0" borderId="0" xfId="0" applyFont="1" applyAlignment="1">
      <alignment vertical="center" wrapText="1"/>
    </xf>
    <xf numFmtId="49" fontId="0" fillId="0" borderId="0" xfId="0" applyNumberFormat="1" applyAlignment="1">
      <alignment horizontal="center" vertical="center"/>
    </xf>
    <xf numFmtId="9" fontId="0" fillId="0" borderId="0" xfId="0" applyNumberFormat="1" applyAlignment="1">
      <alignment horizontal="center" vertical="center"/>
    </xf>
    <xf numFmtId="0" fontId="16" fillId="0" borderId="0" xfId="0" applyFont="1"/>
    <xf numFmtId="0" fontId="16" fillId="0" borderId="0" xfId="0" applyFont="1" applyAlignment="1">
      <alignment vertical="center"/>
    </xf>
    <xf numFmtId="0" fontId="0" fillId="0" borderId="17" xfId="0" applyBorder="1" applyAlignment="1">
      <alignment horizontal="center" vertical="center"/>
    </xf>
    <xf numFmtId="14" fontId="0" fillId="0" borderId="0" xfId="0" applyNumberFormat="1"/>
    <xf numFmtId="0" fontId="13" fillId="0" borderId="1" xfId="0" applyFont="1" applyBorder="1" applyAlignment="1">
      <alignment wrapText="1"/>
    </xf>
    <xf numFmtId="44" fontId="1" fillId="4" borderId="1" xfId="2" applyFont="1" applyFill="1" applyBorder="1" applyAlignment="1">
      <alignment horizontal="center" wrapText="1"/>
    </xf>
    <xf numFmtId="44" fontId="1" fillId="7" borderId="1" xfId="2" applyFont="1" applyFill="1" applyBorder="1" applyAlignment="1">
      <alignment horizontal="center" wrapText="1"/>
    </xf>
    <xf numFmtId="44" fontId="1" fillId="8" borderId="1" xfId="2" applyFont="1" applyFill="1" applyBorder="1" applyAlignment="1">
      <alignment horizontal="center" wrapText="1"/>
    </xf>
    <xf numFmtId="0" fontId="1" fillId="9" borderId="1" xfId="0" applyFont="1" applyFill="1" applyBorder="1" applyAlignment="1">
      <alignment horizontal="center" wrapText="1"/>
    </xf>
    <xf numFmtId="0" fontId="1" fillId="0" borderId="1" xfId="0" applyFont="1" applyBorder="1" applyAlignment="1">
      <alignment horizontal="center" wrapText="1"/>
    </xf>
    <xf numFmtId="0" fontId="1" fillId="0" borderId="1" xfId="0" applyFont="1" applyBorder="1" applyAlignment="1">
      <alignment wrapText="1"/>
    </xf>
    <xf numFmtId="0" fontId="1" fillId="0" borderId="0" xfId="0" applyFont="1" applyAlignment="1">
      <alignment wrapText="1"/>
    </xf>
    <xf numFmtId="0" fontId="32" fillId="3" borderId="2" xfId="0" applyFont="1" applyFill="1" applyBorder="1" applyAlignment="1">
      <alignment vertical="center"/>
    </xf>
    <xf numFmtId="44" fontId="33" fillId="3" borderId="17" xfId="2" applyFont="1" applyFill="1" applyBorder="1" applyAlignment="1">
      <alignment wrapText="1"/>
    </xf>
    <xf numFmtId="44" fontId="33" fillId="3" borderId="17" xfId="2" applyFont="1" applyFill="1" applyBorder="1" applyAlignment="1">
      <alignment horizontal="center" wrapText="1"/>
    </xf>
    <xf numFmtId="0" fontId="33" fillId="3" borderId="17" xfId="0" applyFont="1" applyFill="1" applyBorder="1" applyAlignment="1">
      <alignment horizontal="center" wrapText="1"/>
    </xf>
    <xf numFmtId="0" fontId="33" fillId="3" borderId="3" xfId="0" applyFont="1" applyFill="1" applyBorder="1" applyAlignment="1">
      <alignment wrapText="1"/>
    </xf>
    <xf numFmtId="0" fontId="33" fillId="0" borderId="0" xfId="0" applyFont="1" applyAlignment="1">
      <alignment wrapText="1"/>
    </xf>
    <xf numFmtId="0" fontId="0" fillId="4" borderId="35" xfId="0" applyFill="1" applyBorder="1" applyAlignment="1">
      <alignment vertical="center" wrapText="1"/>
    </xf>
    <xf numFmtId="44" fontId="1" fillId="4" borderId="10" xfId="2" applyFont="1" applyFill="1" applyBorder="1" applyAlignment="1">
      <alignment vertical="center"/>
    </xf>
    <xf numFmtId="44" fontId="1" fillId="7" borderId="59" xfId="2" applyFont="1" applyFill="1" applyBorder="1" applyAlignment="1">
      <alignment vertical="center"/>
    </xf>
    <xf numFmtId="44" fontId="1" fillId="8" borderId="60" xfId="2" applyFont="1" applyFill="1" applyBorder="1" applyAlignment="1">
      <alignment vertical="center"/>
    </xf>
    <xf numFmtId="44" fontId="1" fillId="9" borderId="61" xfId="2" applyFont="1" applyFill="1" applyBorder="1" applyAlignment="1">
      <alignment horizontal="center" vertical="center"/>
    </xf>
    <xf numFmtId="0" fontId="0" fillId="4" borderId="60" xfId="0" applyFill="1" applyBorder="1" applyAlignment="1">
      <alignment horizontal="center" vertical="center"/>
    </xf>
    <xf numFmtId="0" fontId="0" fillId="4" borderId="19" xfId="0" applyFill="1" applyBorder="1" applyAlignment="1">
      <alignment vertical="center" wrapText="1"/>
    </xf>
    <xf numFmtId="0" fontId="0" fillId="4" borderId="17" xfId="0" applyFill="1" applyBorder="1" applyAlignment="1">
      <alignment vertical="center" wrapText="1"/>
    </xf>
    <xf numFmtId="44" fontId="1" fillId="8" borderId="62" xfId="2" applyFont="1" applyFill="1" applyBorder="1" applyAlignment="1">
      <alignment vertical="center" wrapText="1"/>
    </xf>
    <xf numFmtId="44" fontId="1" fillId="9" borderId="62" xfId="2" applyFont="1" applyFill="1" applyBorder="1" applyAlignment="1">
      <alignment horizontal="center" vertical="center" wrapText="1"/>
    </xf>
    <xf numFmtId="0" fontId="0" fillId="4" borderId="63" xfId="0" applyFill="1" applyBorder="1" applyAlignment="1">
      <alignment horizontal="center" vertical="center" wrapText="1"/>
    </xf>
    <xf numFmtId="0" fontId="0" fillId="4" borderId="3" xfId="0" applyFill="1" applyBorder="1" applyAlignment="1">
      <alignment vertical="center" wrapText="1"/>
    </xf>
    <xf numFmtId="0" fontId="0" fillId="0" borderId="0" xfId="0" applyAlignment="1">
      <alignment wrapText="1"/>
    </xf>
    <xf numFmtId="0" fontId="0" fillId="4" borderId="64" xfId="0" applyFill="1" applyBorder="1" applyAlignment="1">
      <alignment vertical="center" wrapText="1"/>
    </xf>
    <xf numFmtId="0" fontId="0" fillId="4" borderId="17" xfId="0" applyFill="1" applyBorder="1" applyAlignment="1">
      <alignment horizontal="center" vertical="center" wrapText="1"/>
    </xf>
    <xf numFmtId="44" fontId="1" fillId="7" borderId="65" xfId="2" applyFont="1" applyFill="1" applyBorder="1" applyAlignment="1">
      <alignment vertical="center"/>
    </xf>
    <xf numFmtId="0" fontId="36" fillId="4" borderId="3" xfId="0" applyFont="1" applyFill="1" applyBorder="1" applyAlignment="1">
      <alignment vertical="top" wrapText="1"/>
    </xf>
    <xf numFmtId="0" fontId="0" fillId="4" borderId="66" xfId="0" applyFill="1" applyBorder="1" applyAlignment="1">
      <alignment vertical="center" wrapText="1"/>
    </xf>
    <xf numFmtId="0" fontId="0" fillId="4" borderId="3" xfId="0" applyFill="1" applyBorder="1" applyAlignment="1">
      <alignment wrapText="1"/>
    </xf>
    <xf numFmtId="0" fontId="0" fillId="4" borderId="67" xfId="0" applyFill="1" applyBorder="1" applyAlignment="1">
      <alignment wrapText="1"/>
    </xf>
    <xf numFmtId="44" fontId="1" fillId="4" borderId="0" xfId="2" applyFont="1" applyFill="1" applyBorder="1" applyAlignment="1">
      <alignment vertical="center"/>
    </xf>
    <xf numFmtId="44" fontId="1" fillId="7" borderId="0" xfId="2" applyFont="1" applyFill="1" applyBorder="1" applyAlignment="1">
      <alignment vertical="center"/>
    </xf>
    <xf numFmtId="0" fontId="1" fillId="8" borderId="0" xfId="0" applyFont="1" applyFill="1" applyAlignment="1">
      <alignment wrapText="1"/>
    </xf>
    <xf numFmtId="0" fontId="1" fillId="9" borderId="0" xfId="0" applyFont="1" applyFill="1" applyAlignment="1">
      <alignment wrapText="1"/>
    </xf>
    <xf numFmtId="0" fontId="0" fillId="0" borderId="35" xfId="0" applyBorder="1"/>
    <xf numFmtId="44" fontId="34" fillId="8" borderId="61" xfId="2" applyFont="1" applyFill="1" applyBorder="1"/>
    <xf numFmtId="44" fontId="34" fillId="9" borderId="61" xfId="2" applyFont="1" applyFill="1" applyBorder="1" applyAlignment="1">
      <alignment horizontal="center"/>
    </xf>
    <xf numFmtId="0" fontId="0" fillId="0" borderId="67" xfId="0" applyBorder="1"/>
    <xf numFmtId="44" fontId="1" fillId="8" borderId="68" xfId="2" applyFont="1" applyFill="1" applyBorder="1"/>
    <xf numFmtId="44" fontId="1" fillId="9" borderId="68" xfId="2" applyFont="1" applyFill="1" applyBorder="1" applyAlignment="1">
      <alignment horizontal="center"/>
    </xf>
    <xf numFmtId="0" fontId="36" fillId="4" borderId="2" xfId="0" applyFont="1" applyFill="1" applyBorder="1" applyAlignment="1">
      <alignment vertical="center" wrapText="1"/>
    </xf>
    <xf numFmtId="44" fontId="34" fillId="7" borderId="62" xfId="2" applyFont="1" applyFill="1" applyBorder="1" applyAlignment="1">
      <alignment vertical="center"/>
    </xf>
    <xf numFmtId="44" fontId="34" fillId="8" borderId="62" xfId="2" applyFont="1" applyFill="1" applyBorder="1" applyAlignment="1">
      <alignment vertical="center"/>
    </xf>
    <xf numFmtId="44" fontId="34" fillId="9" borderId="62" xfId="2" applyFont="1" applyFill="1" applyBorder="1" applyAlignment="1">
      <alignment horizontal="center" vertical="center"/>
    </xf>
    <xf numFmtId="0" fontId="36" fillId="0" borderId="17" xfId="0" applyFont="1" applyBorder="1" applyAlignment="1">
      <alignment horizontal="center" vertical="center"/>
    </xf>
    <xf numFmtId="0" fontId="36" fillId="0" borderId="3" xfId="0" applyFont="1" applyBorder="1" applyAlignment="1">
      <alignment vertical="center" wrapText="1"/>
    </xf>
    <xf numFmtId="0" fontId="0" fillId="0" borderId="2" xfId="0" applyBorder="1" applyAlignment="1">
      <alignment vertical="center" wrapText="1"/>
    </xf>
    <xf numFmtId="0" fontId="0" fillId="0" borderId="17" xfId="0" applyBorder="1" applyAlignment="1">
      <alignment horizontal="center" vertical="center" wrapText="1"/>
    </xf>
    <xf numFmtId="0" fontId="36" fillId="4" borderId="66" xfId="0" applyFont="1" applyFill="1" applyBorder="1" applyAlignment="1">
      <alignment vertical="center" wrapText="1"/>
    </xf>
    <xf numFmtId="44" fontId="34" fillId="7" borderId="61" xfId="2" applyFont="1" applyFill="1" applyBorder="1" applyAlignment="1">
      <alignment vertical="center"/>
    </xf>
    <xf numFmtId="44" fontId="34" fillId="8" borderId="61" xfId="2" applyFont="1" applyFill="1" applyBorder="1" applyAlignment="1">
      <alignment vertical="center"/>
    </xf>
    <xf numFmtId="44" fontId="34" fillId="9" borderId="61" xfId="2" applyFont="1" applyFill="1" applyBorder="1" applyAlignment="1">
      <alignment horizontal="center" vertical="center"/>
    </xf>
    <xf numFmtId="0" fontId="36" fillId="0" borderId="10" xfId="0" applyFont="1" applyBorder="1" applyAlignment="1">
      <alignment horizontal="center" vertical="center"/>
    </xf>
    <xf numFmtId="0" fontId="36" fillId="0" borderId="19" xfId="0" applyFont="1" applyBorder="1" applyAlignment="1">
      <alignment vertical="center" wrapText="1"/>
    </xf>
    <xf numFmtId="0" fontId="36" fillId="0" borderId="35" xfId="0" applyFont="1" applyBorder="1" applyAlignment="1">
      <alignment vertical="center" wrapText="1"/>
    </xf>
    <xf numFmtId="0" fontId="36" fillId="0" borderId="2" xfId="0" applyFont="1" applyBorder="1" applyAlignment="1">
      <alignment vertical="center" wrapText="1"/>
    </xf>
    <xf numFmtId="44" fontId="1" fillId="7" borderId="62" xfId="2" applyFont="1" applyFill="1" applyBorder="1" applyAlignment="1">
      <alignment vertical="center"/>
    </xf>
    <xf numFmtId="44" fontId="1" fillId="8" borderId="62" xfId="2" applyFont="1" applyFill="1" applyBorder="1" applyAlignment="1">
      <alignment vertical="center"/>
    </xf>
    <xf numFmtId="44" fontId="1" fillId="9" borderId="62" xfId="2" applyFont="1" applyFill="1" applyBorder="1" applyAlignment="1">
      <alignment horizontal="center" vertical="center"/>
    </xf>
    <xf numFmtId="0" fontId="0" fillId="0" borderId="3" xfId="0" applyBorder="1" applyAlignment="1">
      <alignment horizontal="left" vertical="center" wrapText="1"/>
    </xf>
    <xf numFmtId="0" fontId="0" fillId="0" borderId="3" xfId="0" applyBorder="1" applyAlignment="1">
      <alignment vertical="center" wrapText="1"/>
    </xf>
    <xf numFmtId="44" fontId="34" fillId="4" borderId="10" xfId="2" applyFont="1" applyFill="1" applyBorder="1" applyAlignment="1">
      <alignment vertical="center"/>
    </xf>
    <xf numFmtId="0" fontId="36" fillId="0" borderId="2" xfId="5" applyFont="1" applyBorder="1" applyAlignment="1">
      <alignment vertical="center" wrapText="1"/>
    </xf>
    <xf numFmtId="44" fontId="34" fillId="7" borderId="62" xfId="5" applyNumberFormat="1" applyFont="1" applyFill="1" applyBorder="1" applyAlignment="1">
      <alignment vertical="center" wrapText="1"/>
    </xf>
    <xf numFmtId="44" fontId="34" fillId="8" borderId="62" xfId="5" applyNumberFormat="1" applyFont="1" applyFill="1" applyBorder="1" applyAlignment="1">
      <alignment vertical="center" wrapText="1"/>
    </xf>
    <xf numFmtId="44" fontId="34" fillId="9" borderId="62" xfId="5" applyNumberFormat="1" applyFont="1" applyFill="1" applyBorder="1" applyAlignment="1">
      <alignment horizontal="center" vertical="center" wrapText="1"/>
    </xf>
    <xf numFmtId="0" fontId="36" fillId="0" borderId="3" xfId="5" applyFont="1" applyBorder="1" applyAlignment="1">
      <alignment horizontal="left" vertical="center" wrapText="1"/>
    </xf>
    <xf numFmtId="44" fontId="34" fillId="7" borderId="62" xfId="5" applyNumberFormat="1" applyFont="1" applyFill="1" applyBorder="1" applyAlignment="1">
      <alignment vertical="center"/>
    </xf>
    <xf numFmtId="44" fontId="34" fillId="8" borderId="62" xfId="5" applyNumberFormat="1" applyFont="1" applyFill="1" applyBorder="1" applyAlignment="1">
      <alignment vertical="center"/>
    </xf>
    <xf numFmtId="44" fontId="34" fillId="9" borderId="62" xfId="5" applyNumberFormat="1" applyFont="1" applyFill="1" applyBorder="1" applyAlignment="1">
      <alignment horizontal="center" vertical="center"/>
    </xf>
    <xf numFmtId="44" fontId="1" fillId="4" borderId="62" xfId="2" applyFont="1" applyFill="1" applyBorder="1" applyAlignment="1">
      <alignment vertical="center"/>
    </xf>
    <xf numFmtId="44" fontId="34" fillId="4" borderId="62" xfId="2" applyFont="1" applyFill="1" applyBorder="1" applyAlignment="1">
      <alignment vertical="center"/>
    </xf>
    <xf numFmtId="44" fontId="1" fillId="7" borderId="17" xfId="2" applyFont="1" applyFill="1" applyBorder="1" applyAlignment="1">
      <alignment vertical="center"/>
    </xf>
    <xf numFmtId="44" fontId="1" fillId="8" borderId="17" xfId="2" applyFont="1" applyFill="1" applyBorder="1" applyAlignment="1">
      <alignment vertical="center"/>
    </xf>
    <xf numFmtId="44" fontId="1" fillId="9" borderId="17" xfId="2" applyFont="1" applyFill="1" applyBorder="1" applyAlignment="1">
      <alignment horizontal="center" vertical="center"/>
    </xf>
    <xf numFmtId="0" fontId="32" fillId="3" borderId="2" xfId="0" applyFont="1" applyFill="1" applyBorder="1" applyAlignment="1">
      <alignment vertical="center" wrapText="1"/>
    </xf>
    <xf numFmtId="44" fontId="32" fillId="3" borderId="17" xfId="2" applyFont="1" applyFill="1" applyBorder="1" applyAlignment="1">
      <alignment horizontal="center" wrapText="1"/>
    </xf>
    <xf numFmtId="0" fontId="32" fillId="3" borderId="17" xfId="0" applyFont="1" applyFill="1" applyBorder="1" applyAlignment="1">
      <alignment horizontal="center" wrapText="1"/>
    </xf>
    <xf numFmtId="0" fontId="32" fillId="3" borderId="3" xfId="0" applyFont="1" applyFill="1" applyBorder="1" applyAlignment="1">
      <alignment wrapText="1"/>
    </xf>
    <xf numFmtId="0" fontId="39" fillId="0" borderId="18" xfId="0" applyFont="1" applyBorder="1" applyAlignment="1">
      <alignment horizontal="left"/>
    </xf>
    <xf numFmtId="0" fontId="40" fillId="0" borderId="0" xfId="0" applyFont="1" applyAlignment="1">
      <alignment horizontal="left" wrapText="1"/>
    </xf>
    <xf numFmtId="0" fontId="40" fillId="0" borderId="0" xfId="0" applyFont="1" applyAlignment="1">
      <alignment horizontal="center" wrapText="1"/>
    </xf>
    <xf numFmtId="0" fontId="39" fillId="0" borderId="0" xfId="0" applyFont="1" applyAlignment="1">
      <alignment horizontal="left" wrapText="1"/>
    </xf>
    <xf numFmtId="0" fontId="0" fillId="10" borderId="2" xfId="0" applyFill="1" applyBorder="1" applyAlignment="1">
      <alignment vertical="center"/>
    </xf>
    <xf numFmtId="168" fontId="1" fillId="10" borderId="17" xfId="2" applyNumberFormat="1" applyFont="1" applyFill="1" applyBorder="1" applyAlignment="1">
      <alignment vertical="center"/>
    </xf>
    <xf numFmtId="168" fontId="1" fillId="10" borderId="17" xfId="2" applyNumberFormat="1" applyFont="1" applyFill="1" applyBorder="1" applyAlignment="1">
      <alignment horizontal="center" vertical="center"/>
    </xf>
    <xf numFmtId="0" fontId="0" fillId="10" borderId="17" xfId="0" applyFill="1" applyBorder="1" applyAlignment="1">
      <alignment horizontal="center" vertical="center"/>
    </xf>
    <xf numFmtId="0" fontId="0" fillId="10" borderId="3" xfId="0" applyFill="1" applyBorder="1" applyAlignment="1">
      <alignment vertical="center" wrapText="1"/>
    </xf>
    <xf numFmtId="44" fontId="0" fillId="0" borderId="0" xfId="0" applyNumberFormat="1" applyAlignment="1">
      <alignment vertical="center"/>
    </xf>
    <xf numFmtId="168" fontId="1" fillId="4" borderId="10" xfId="2" applyNumberFormat="1" applyFont="1" applyFill="1" applyBorder="1" applyAlignment="1">
      <alignment vertical="center"/>
    </xf>
    <xf numFmtId="168" fontId="1" fillId="7" borderId="61" xfId="2" applyNumberFormat="1" applyFont="1" applyFill="1" applyBorder="1" applyAlignment="1">
      <alignment vertical="center"/>
    </xf>
    <xf numFmtId="168" fontId="1" fillId="8" borderId="61" xfId="2" applyNumberFormat="1" applyFont="1" applyFill="1" applyBorder="1" applyAlignment="1">
      <alignment vertical="center"/>
    </xf>
    <xf numFmtId="0" fontId="0" fillId="0" borderId="0" xfId="0" applyAlignment="1">
      <alignment horizontal="center" wrapText="1"/>
    </xf>
    <xf numFmtId="168" fontId="1" fillId="4" borderId="0" xfId="2" applyNumberFormat="1" applyFont="1" applyFill="1" applyBorder="1" applyAlignment="1">
      <alignment vertical="center"/>
    </xf>
    <xf numFmtId="168" fontId="1" fillId="7" borderId="68" xfId="2" applyNumberFormat="1" applyFont="1" applyFill="1" applyBorder="1" applyAlignment="1">
      <alignment vertical="center"/>
    </xf>
    <xf numFmtId="168" fontId="1" fillId="8" borderId="68" xfId="2" applyNumberFormat="1" applyFont="1" applyFill="1" applyBorder="1" applyAlignment="1">
      <alignment vertical="center"/>
    </xf>
    <xf numFmtId="0" fontId="0" fillId="10" borderId="2" xfId="0" applyFill="1" applyBorder="1" applyAlignment="1">
      <alignment vertical="center" wrapText="1"/>
    </xf>
    <xf numFmtId="168" fontId="1" fillId="10" borderId="17" xfId="2" applyNumberFormat="1" applyFont="1" applyFill="1" applyBorder="1" applyAlignment="1">
      <alignment vertical="center" wrapText="1"/>
    </xf>
    <xf numFmtId="168" fontId="1" fillId="10" borderId="17" xfId="2" applyNumberFormat="1" applyFont="1" applyFill="1" applyBorder="1" applyAlignment="1">
      <alignment horizontal="center" vertical="center" wrapText="1"/>
    </xf>
    <xf numFmtId="0" fontId="0" fillId="10" borderId="17" xfId="0" applyFill="1" applyBorder="1" applyAlignment="1">
      <alignment horizontal="center" vertical="center" wrapText="1"/>
    </xf>
    <xf numFmtId="0" fontId="41" fillId="10" borderId="3" xfId="0" applyFont="1" applyFill="1" applyBorder="1" applyAlignment="1">
      <alignment vertical="center" wrapText="1"/>
    </xf>
    <xf numFmtId="44" fontId="1" fillId="10" borderId="17" xfId="2" applyFont="1" applyFill="1" applyBorder="1" applyAlignment="1">
      <alignment vertical="center" wrapText="1"/>
    </xf>
    <xf numFmtId="44" fontId="1" fillId="10" borderId="17" xfId="2" applyFont="1" applyFill="1" applyBorder="1" applyAlignment="1">
      <alignment horizontal="center" vertical="center" wrapText="1"/>
    </xf>
    <xf numFmtId="0" fontId="0" fillId="0" borderId="35" xfId="0" applyBorder="1" applyAlignment="1">
      <alignment wrapText="1"/>
    </xf>
    <xf numFmtId="0" fontId="0" fillId="0" borderId="67" xfId="0" applyBorder="1" applyAlignment="1">
      <alignment wrapText="1"/>
    </xf>
    <xf numFmtId="44" fontId="1" fillId="10" borderId="17" xfId="2" applyFont="1" applyFill="1" applyBorder="1" applyAlignment="1">
      <alignment vertical="center"/>
    </xf>
    <xf numFmtId="44" fontId="1" fillId="10" borderId="17" xfId="2" applyFont="1" applyFill="1" applyBorder="1" applyAlignment="1">
      <alignment horizontal="center" vertical="center"/>
    </xf>
    <xf numFmtId="0" fontId="1" fillId="10" borderId="17" xfId="0" applyFont="1" applyFill="1" applyBorder="1" applyAlignment="1">
      <alignment vertical="center" wrapText="1"/>
    </xf>
    <xf numFmtId="0" fontId="1" fillId="10" borderId="17" xfId="0" applyFont="1" applyFill="1" applyBorder="1" applyAlignment="1">
      <alignment horizontal="center" vertical="center" wrapText="1"/>
    </xf>
    <xf numFmtId="0" fontId="0" fillId="10" borderId="17" xfId="0" applyFill="1" applyBorder="1" applyAlignment="1">
      <alignment vertical="center" wrapText="1"/>
    </xf>
    <xf numFmtId="0" fontId="0" fillId="0" borderId="67" xfId="0" applyBorder="1" applyAlignment="1">
      <alignment vertical="center" wrapText="1"/>
    </xf>
    <xf numFmtId="168" fontId="34" fillId="7" borderId="68" xfId="2" applyNumberFormat="1" applyFont="1" applyFill="1" applyBorder="1" applyAlignment="1">
      <alignment vertical="center"/>
    </xf>
    <xf numFmtId="168" fontId="34" fillId="8" borderId="68" xfId="2" applyNumberFormat="1" applyFont="1" applyFill="1" applyBorder="1" applyAlignment="1">
      <alignment vertical="center"/>
    </xf>
    <xf numFmtId="168" fontId="34" fillId="9" borderId="68" xfId="2" applyNumberFormat="1" applyFont="1" applyFill="1" applyBorder="1" applyAlignment="1">
      <alignment horizontal="center" vertical="center"/>
    </xf>
    <xf numFmtId="0" fontId="0" fillId="0" borderId="0" xfId="0" applyAlignment="1">
      <alignment horizontal="center" vertical="center" wrapText="1"/>
    </xf>
    <xf numFmtId="0" fontId="0" fillId="0" borderId="18" xfId="0" applyBorder="1" applyAlignment="1">
      <alignment vertical="center" wrapText="1"/>
    </xf>
    <xf numFmtId="0" fontId="0" fillId="0" borderId="35" xfId="0" applyBorder="1" applyAlignment="1">
      <alignment vertical="center" wrapText="1"/>
    </xf>
    <xf numFmtId="168" fontId="1" fillId="7" borderId="60" xfId="2" applyNumberFormat="1" applyFont="1" applyFill="1" applyBorder="1" applyAlignment="1">
      <alignment vertical="center"/>
    </xf>
    <xf numFmtId="168" fontId="1" fillId="8" borderId="10" xfId="2" applyNumberFormat="1" applyFont="1" applyFill="1" applyBorder="1" applyAlignment="1">
      <alignment vertical="center"/>
    </xf>
    <xf numFmtId="0" fontId="0" fillId="0" borderId="37" xfId="0" applyBorder="1" applyAlignment="1">
      <alignment vertical="center" wrapText="1"/>
    </xf>
    <xf numFmtId="44" fontId="1" fillId="4" borderId="4" xfId="2" applyFont="1" applyFill="1" applyBorder="1" applyAlignment="1">
      <alignment vertical="center"/>
    </xf>
    <xf numFmtId="44" fontId="1" fillId="7" borderId="4" xfId="2" applyFont="1" applyFill="1" applyBorder="1" applyAlignment="1">
      <alignment horizontal="center" vertical="center"/>
    </xf>
    <xf numFmtId="44" fontId="1" fillId="8" borderId="4" xfId="2" applyFont="1" applyFill="1" applyBorder="1" applyAlignment="1">
      <alignment horizontal="center" vertical="center"/>
    </xf>
    <xf numFmtId="44" fontId="1" fillId="9" borderId="0" xfId="2" applyFont="1" applyFill="1" applyBorder="1" applyAlignment="1">
      <alignment horizontal="center" vertical="center" wrapText="1"/>
    </xf>
    <xf numFmtId="0" fontId="1" fillId="0" borderId="18" xfId="0" applyFont="1" applyBorder="1" applyAlignment="1">
      <alignment horizontal="left" vertical="center" wrapText="1"/>
    </xf>
    <xf numFmtId="0" fontId="0" fillId="0" borderId="0" xfId="0" applyAlignment="1">
      <alignment vertical="center" wrapText="1"/>
    </xf>
    <xf numFmtId="44" fontId="1" fillId="8" borderId="61" xfId="2" applyFont="1" applyFill="1" applyBorder="1" applyAlignment="1">
      <alignment vertical="center"/>
    </xf>
    <xf numFmtId="44" fontId="1" fillId="8" borderId="0" xfId="2" applyFont="1" applyFill="1" applyBorder="1" applyAlignment="1">
      <alignment vertical="center"/>
    </xf>
    <xf numFmtId="44" fontId="1" fillId="9" borderId="72" xfId="2" applyFont="1" applyFill="1" applyBorder="1" applyAlignment="1">
      <alignment horizontal="center" vertical="center" wrapText="1"/>
    </xf>
    <xf numFmtId="0" fontId="0" fillId="0" borderId="18" xfId="0" applyBorder="1" applyAlignment="1">
      <alignment horizontal="left" vertical="center" wrapText="1"/>
    </xf>
    <xf numFmtId="0" fontId="0" fillId="0" borderId="35" xfId="0" applyBorder="1" applyAlignment="1">
      <alignment vertical="center"/>
    </xf>
    <xf numFmtId="168" fontId="1" fillId="9" borderId="61" xfId="2" applyNumberFormat="1" applyFont="1" applyFill="1" applyBorder="1" applyAlignment="1">
      <alignment horizontal="center" vertical="center"/>
    </xf>
    <xf numFmtId="0" fontId="0" fillId="0" borderId="10" xfId="0" applyBorder="1" applyAlignment="1">
      <alignment horizontal="center" vertical="center"/>
    </xf>
    <xf numFmtId="0" fontId="0" fillId="0" borderId="19" xfId="0" applyBorder="1" applyAlignment="1">
      <alignment vertical="center" wrapText="1"/>
    </xf>
    <xf numFmtId="168" fontId="1" fillId="7" borderId="73" xfId="2" applyNumberFormat="1" applyFont="1" applyFill="1" applyBorder="1" applyAlignment="1">
      <alignment vertical="center"/>
    </xf>
    <xf numFmtId="168" fontId="1" fillId="8" borderId="62" xfId="2" applyNumberFormat="1" applyFont="1" applyFill="1" applyBorder="1" applyAlignment="1">
      <alignment vertical="center"/>
    </xf>
    <xf numFmtId="168" fontId="1" fillId="9" borderId="62" xfId="2" applyNumberFormat="1" applyFont="1" applyFill="1" applyBorder="1" applyAlignment="1">
      <alignment horizontal="center" vertical="center"/>
    </xf>
    <xf numFmtId="168" fontId="1" fillId="9" borderId="59" xfId="2" applyNumberFormat="1" applyFont="1" applyFill="1" applyBorder="1" applyAlignment="1">
      <alignment horizontal="center" vertical="center"/>
    </xf>
    <xf numFmtId="0" fontId="0" fillId="0" borderId="10" xfId="0" applyBorder="1" applyAlignment="1">
      <alignment horizontal="center" vertical="center" wrapText="1"/>
    </xf>
    <xf numFmtId="168" fontId="1" fillId="4" borderId="61" xfId="2" applyNumberFormat="1" applyFont="1" applyFill="1" applyBorder="1" applyAlignment="1">
      <alignment horizontal="center" vertical="center"/>
    </xf>
    <xf numFmtId="168" fontId="1" fillId="7" borderId="61" xfId="2" applyNumberFormat="1" applyFont="1" applyFill="1" applyBorder="1" applyAlignment="1">
      <alignment horizontal="center" vertical="center"/>
    </xf>
    <xf numFmtId="168" fontId="1" fillId="8" borderId="61" xfId="2" applyNumberFormat="1" applyFont="1" applyFill="1" applyBorder="1" applyAlignment="1">
      <alignment horizontal="center" vertical="center"/>
    </xf>
    <xf numFmtId="168" fontId="1" fillId="9" borderId="59" xfId="2" applyNumberFormat="1" applyFont="1" applyFill="1" applyBorder="1" applyAlignment="1">
      <alignment horizontal="center" vertical="center" wrapText="1"/>
    </xf>
    <xf numFmtId="44" fontId="34" fillId="7" borderId="17" xfId="2" applyFont="1" applyFill="1" applyBorder="1" applyAlignment="1">
      <alignment vertical="center"/>
    </xf>
    <xf numFmtId="44" fontId="34" fillId="8" borderId="17" xfId="2" applyFont="1" applyFill="1" applyBorder="1" applyAlignment="1">
      <alignment vertical="center"/>
    </xf>
    <xf numFmtId="44" fontId="34" fillId="9" borderId="17" xfId="2" applyFont="1" applyFill="1" applyBorder="1" applyAlignment="1">
      <alignment horizontal="center" vertical="center"/>
    </xf>
    <xf numFmtId="0" fontId="34" fillId="0" borderId="3" xfId="0" applyFont="1" applyBorder="1" applyAlignment="1">
      <alignment vertical="center" wrapText="1"/>
    </xf>
    <xf numFmtId="44" fontId="0" fillId="0" borderId="0" xfId="2" applyFont="1" applyAlignment="1">
      <alignment horizontal="center"/>
    </xf>
    <xf numFmtId="0" fontId="0" fillId="0" borderId="0" xfId="0" applyAlignment="1">
      <alignment horizontal="right"/>
    </xf>
    <xf numFmtId="0" fontId="0" fillId="10" borderId="0" xfId="0" applyFill="1" applyAlignment="1">
      <alignment vertical="center"/>
    </xf>
    <xf numFmtId="3" fontId="0" fillId="0" borderId="35" xfId="0" applyNumberFormat="1" applyBorder="1"/>
    <xf numFmtId="168" fontId="1" fillId="0" borderId="0" xfId="2" applyNumberFormat="1" applyFont="1" applyFill="1" applyBorder="1" applyAlignment="1">
      <alignment vertical="center"/>
    </xf>
    <xf numFmtId="3" fontId="0" fillId="0" borderId="0" xfId="0" applyNumberFormat="1"/>
    <xf numFmtId="168" fontId="1" fillId="8" borderId="0" xfId="2" applyNumberFormat="1" applyFont="1" applyFill="1" applyBorder="1" applyAlignment="1">
      <alignment vertical="center"/>
    </xf>
    <xf numFmtId="3" fontId="0" fillId="0" borderId="35" xfId="0" applyNumberFormat="1" applyBorder="1" applyAlignment="1">
      <alignment wrapText="1"/>
    </xf>
    <xf numFmtId="3" fontId="0" fillId="0" borderId="67" xfId="0" applyNumberFormat="1" applyBorder="1" applyAlignment="1">
      <alignment wrapText="1"/>
    </xf>
    <xf numFmtId="0" fontId="0" fillId="10" borderId="0" xfId="0" applyFill="1" applyAlignment="1">
      <alignment vertical="center" wrapText="1"/>
    </xf>
    <xf numFmtId="3" fontId="0" fillId="0" borderId="35" xfId="0" applyNumberFormat="1" applyBorder="1" applyAlignment="1">
      <alignment vertical="center" wrapText="1"/>
    </xf>
    <xf numFmtId="3" fontId="0" fillId="0" borderId="67" xfId="0" applyNumberFormat="1" applyBorder="1" applyAlignment="1">
      <alignment vertical="center" wrapText="1"/>
    </xf>
    <xf numFmtId="0" fontId="3" fillId="0" borderId="0" xfId="0" applyFont="1" applyFill="1" applyBorder="1" applyAlignment="1">
      <alignment wrapText="1"/>
    </xf>
    <xf numFmtId="0" fontId="0" fillId="0" borderId="0" xfId="0" applyFill="1" applyBorder="1" applyAlignment="1">
      <alignment vertical="center"/>
    </xf>
    <xf numFmtId="165" fontId="19" fillId="0" borderId="0" xfId="0" applyNumberFormat="1" applyFont="1" applyFill="1" applyBorder="1" applyAlignment="1" applyProtection="1">
      <alignment vertical="center"/>
    </xf>
    <xf numFmtId="169" fontId="1" fillId="0" borderId="0" xfId="0" applyNumberFormat="1" applyFont="1"/>
    <xf numFmtId="42" fontId="1" fillId="8" borderId="61" xfId="2" applyNumberFormat="1" applyFont="1" applyFill="1" applyBorder="1" applyAlignment="1">
      <alignment vertical="center"/>
    </xf>
    <xf numFmtId="0" fontId="31" fillId="4" borderId="0" xfId="0" applyFont="1" applyFill="1" applyBorder="1" applyAlignment="1">
      <alignment vertical="center"/>
    </xf>
    <xf numFmtId="0" fontId="31" fillId="0" borderId="0" xfId="0" quotePrefix="1" applyFont="1" applyBorder="1" applyAlignment="1">
      <alignment vertical="center"/>
    </xf>
    <xf numFmtId="0" fontId="31" fillId="0" borderId="0" xfId="0" applyFont="1" applyBorder="1" applyAlignment="1">
      <alignment vertical="center"/>
    </xf>
    <xf numFmtId="0" fontId="4" fillId="0" borderId="0" xfId="0" applyFont="1"/>
    <xf numFmtId="0" fontId="48" fillId="0" borderId="0" xfId="0" applyFont="1"/>
    <xf numFmtId="0" fontId="10" fillId="0" borderId="0" xfId="0" applyFont="1"/>
    <xf numFmtId="0" fontId="49" fillId="0" borderId="0" xfId="0" applyFont="1"/>
    <xf numFmtId="0" fontId="51" fillId="0" borderId="0" xfId="0" applyFont="1"/>
    <xf numFmtId="0" fontId="1" fillId="0" borderId="1" xfId="0" applyFont="1" applyBorder="1" applyAlignment="1" applyProtection="1">
      <alignment horizontal="center" vertical="center"/>
      <protection locked="0"/>
    </xf>
    <xf numFmtId="0" fontId="0" fillId="0" borderId="2" xfId="0" applyFont="1" applyBorder="1" applyAlignment="1" applyProtection="1">
      <alignment horizontal="left" vertical="center"/>
    </xf>
    <xf numFmtId="0" fontId="1" fillId="4" borderId="0" xfId="0" applyFont="1" applyFill="1" applyBorder="1" applyAlignment="1" applyProtection="1"/>
    <xf numFmtId="0" fontId="0" fillId="4" borderId="0" xfId="0" applyFill="1" applyAlignment="1"/>
    <xf numFmtId="0" fontId="0" fillId="4" borderId="0" xfId="0" applyFill="1" applyAlignment="1">
      <alignment horizontal="left" vertical="center"/>
    </xf>
    <xf numFmtId="165" fontId="40" fillId="4" borderId="78" xfId="0" applyNumberFormat="1" applyFont="1" applyFill="1" applyBorder="1" applyAlignment="1" applyProtection="1">
      <alignment horizontal="right" vertical="center"/>
      <protection locked="0"/>
    </xf>
    <xf numFmtId="165" fontId="1" fillId="4" borderId="0" xfId="0" applyNumberFormat="1" applyFont="1" applyFill="1" applyBorder="1" applyAlignment="1" applyProtection="1">
      <alignment horizontal="right" vertical="center"/>
    </xf>
    <xf numFmtId="0" fontId="17" fillId="4" borderId="0" xfId="0" applyFont="1" applyFill="1" applyBorder="1" applyAlignment="1" applyProtection="1">
      <alignment horizontal="center" vertical="center"/>
      <protection locked="0"/>
    </xf>
    <xf numFmtId="0" fontId="41" fillId="0" borderId="0" xfId="0" applyFont="1"/>
    <xf numFmtId="0" fontId="25" fillId="0" borderId="0" xfId="0" applyFont="1" applyAlignment="1">
      <alignment horizontal="left"/>
    </xf>
    <xf numFmtId="0" fontId="25" fillId="0" borderId="0" xfId="0" applyFont="1" applyAlignment="1">
      <alignment horizontal="right"/>
    </xf>
    <xf numFmtId="8" fontId="41" fillId="0" borderId="0" xfId="0" applyNumberFormat="1" applyFont="1"/>
    <xf numFmtId="8" fontId="41" fillId="0" borderId="0" xfId="0" applyNumberFormat="1" applyFont="1" applyAlignment="1">
      <alignment horizontal="right"/>
    </xf>
    <xf numFmtId="165" fontId="41" fillId="0" borderId="0" xfId="0" applyNumberFormat="1" applyFont="1" applyProtection="1">
      <protection locked="0"/>
    </xf>
    <xf numFmtId="1" fontId="41" fillId="0" borderId="0" xfId="0" applyNumberFormat="1" applyFont="1"/>
    <xf numFmtId="2" fontId="41" fillId="0" borderId="0" xfId="0" applyNumberFormat="1" applyFont="1"/>
    <xf numFmtId="2" fontId="41" fillId="0" borderId="0" xfId="0" applyNumberFormat="1" applyFont="1" applyFill="1"/>
    <xf numFmtId="0" fontId="41" fillId="0" borderId="0" xfId="0" applyFont="1"/>
    <xf numFmtId="0" fontId="0" fillId="0" borderId="0" xfId="0" applyBorder="1"/>
    <xf numFmtId="0" fontId="0" fillId="0" borderId="0" xfId="0" applyBorder="1" applyAlignment="1">
      <alignment vertical="center"/>
    </xf>
    <xf numFmtId="0" fontId="0" fillId="4" borderId="0" xfId="0" applyFill="1" applyAlignment="1">
      <alignment vertical="center"/>
    </xf>
    <xf numFmtId="0" fontId="16" fillId="4" borderId="0" xfId="0" applyFont="1" applyFill="1" applyBorder="1" applyAlignment="1" applyProtection="1">
      <alignment vertical="center"/>
    </xf>
    <xf numFmtId="0" fontId="3" fillId="4" borderId="0" xfId="0" applyFont="1" applyFill="1" applyBorder="1" applyAlignment="1" applyProtection="1">
      <alignment horizontal="center" vertical="center" wrapText="1"/>
    </xf>
    <xf numFmtId="0" fontId="40" fillId="4" borderId="5" xfId="0" applyFont="1" applyFill="1" applyBorder="1" applyAlignment="1" applyProtection="1">
      <alignment vertical="center"/>
    </xf>
    <xf numFmtId="0" fontId="40" fillId="4" borderId="0" xfId="0" applyFont="1" applyFill="1" applyBorder="1" applyAlignment="1" applyProtection="1">
      <alignment vertical="center"/>
    </xf>
    <xf numFmtId="0" fontId="40" fillId="4" borderId="6" xfId="0" applyFont="1" applyFill="1" applyBorder="1" applyAlignment="1" applyProtection="1">
      <alignment vertical="center"/>
    </xf>
    <xf numFmtId="0" fontId="3" fillId="4" borderId="6" xfId="0" applyFont="1" applyFill="1" applyBorder="1" applyAlignment="1" applyProtection="1">
      <alignment horizontal="center" vertical="center" wrapText="1"/>
    </xf>
    <xf numFmtId="0" fontId="3" fillId="4" borderId="0" xfId="0" applyFont="1" applyFill="1" applyBorder="1" applyAlignment="1" applyProtection="1">
      <alignment vertical="center" wrapText="1"/>
    </xf>
    <xf numFmtId="0" fontId="40" fillId="4" borderId="18" xfId="0" applyFont="1" applyFill="1" applyBorder="1" applyAlignment="1" applyProtection="1">
      <alignment vertical="center"/>
    </xf>
    <xf numFmtId="0" fontId="25" fillId="0" borderId="0" xfId="0" applyFont="1"/>
    <xf numFmtId="0" fontId="0" fillId="0" borderId="0" xfId="0" applyAlignment="1">
      <alignment horizontal="left" vertical="center"/>
    </xf>
    <xf numFmtId="44" fontId="0" fillId="0" borderId="0" xfId="0" applyNumberFormat="1" applyAlignment="1">
      <alignment horizontal="left" vertical="center"/>
    </xf>
    <xf numFmtId="165" fontId="3" fillId="0" borderId="0" xfId="0" applyNumberFormat="1" applyFont="1" applyAlignment="1">
      <alignment vertical="center"/>
    </xf>
    <xf numFmtId="1" fontId="0" fillId="0" borderId="0" xfId="0" applyNumberFormat="1"/>
    <xf numFmtId="165" fontId="41" fillId="0" borderId="0" xfId="0" applyNumberFormat="1" applyFont="1"/>
    <xf numFmtId="0" fontId="41" fillId="0" borderId="0" xfId="0" applyFont="1"/>
    <xf numFmtId="0" fontId="17" fillId="4" borderId="0" xfId="0" applyFont="1" applyFill="1" applyBorder="1" applyAlignment="1" applyProtection="1">
      <alignment horizontal="center" vertical="center"/>
      <protection locked="0"/>
    </xf>
    <xf numFmtId="0" fontId="0" fillId="4" borderId="0" xfId="0" applyFill="1" applyAlignment="1">
      <alignment horizontal="left" vertical="center"/>
    </xf>
    <xf numFmtId="0" fontId="0" fillId="0" borderId="0" xfId="0" applyAlignment="1" applyProtection="1">
      <alignment vertical="center"/>
    </xf>
    <xf numFmtId="3" fontId="6" fillId="0" borderId="0" xfId="0" applyNumberFormat="1" applyFont="1" applyBorder="1" applyAlignment="1" applyProtection="1">
      <alignment vertical="center"/>
    </xf>
    <xf numFmtId="0" fontId="6" fillId="0" borderId="0" xfId="0" applyNumberFormat="1" applyFont="1" applyBorder="1" applyAlignment="1" applyProtection="1">
      <alignment vertical="center" wrapText="1"/>
    </xf>
    <xf numFmtId="0" fontId="41" fillId="0" borderId="0" xfId="0" applyNumberFormat="1" applyFont="1"/>
    <xf numFmtId="0" fontId="14" fillId="4" borderId="6" xfId="0" applyFont="1" applyFill="1" applyBorder="1" applyAlignment="1" applyProtection="1">
      <alignment vertical="center"/>
    </xf>
    <xf numFmtId="3" fontId="6" fillId="4" borderId="22" xfId="0" applyNumberFormat="1" applyFont="1" applyFill="1" applyBorder="1" applyAlignment="1" applyProtection="1">
      <alignment horizontal="center" vertical="center"/>
      <protection locked="0"/>
    </xf>
    <xf numFmtId="0" fontId="3" fillId="4" borderId="2" xfId="0" applyFont="1" applyFill="1" applyBorder="1" applyAlignment="1" applyProtection="1">
      <alignment horizontal="right" vertical="center" wrapText="1"/>
    </xf>
    <xf numFmtId="0" fontId="3" fillId="4" borderId="2" xfId="0" applyFont="1" applyFill="1" applyBorder="1" applyAlignment="1">
      <alignment horizontal="right" vertical="center" wrapText="1"/>
    </xf>
    <xf numFmtId="1" fontId="1" fillId="4" borderId="0" xfId="0" applyNumberFormat="1" applyFont="1" applyFill="1" applyAlignment="1">
      <alignment horizontal="center" vertical="center"/>
    </xf>
    <xf numFmtId="0" fontId="1" fillId="4" borderId="0" xfId="0" applyFont="1" applyFill="1" applyAlignment="1">
      <alignment horizontal="center" vertical="center"/>
    </xf>
    <xf numFmtId="0" fontId="0" fillId="14" borderId="0" xfId="0" applyFill="1" applyAlignment="1">
      <alignment vertical="center"/>
    </xf>
    <xf numFmtId="0" fontId="1" fillId="4" borderId="0" xfId="0" applyFont="1" applyFill="1" applyAlignment="1">
      <alignment vertical="center"/>
    </xf>
    <xf numFmtId="0" fontId="3" fillId="0" borderId="0" xfId="0" applyFont="1" applyAlignment="1"/>
    <xf numFmtId="0" fontId="13" fillId="4" borderId="0" xfId="0" applyFont="1" applyFill="1"/>
    <xf numFmtId="3" fontId="1" fillId="4" borderId="0" xfId="0" applyNumberFormat="1" applyFont="1" applyFill="1" applyAlignment="1">
      <alignment vertical="center"/>
    </xf>
    <xf numFmtId="0" fontId="0" fillId="4" borderId="0" xfId="0" applyFill="1" applyBorder="1"/>
    <xf numFmtId="0" fontId="0" fillId="4" borderId="0" xfId="0" applyFill="1" applyBorder="1" applyAlignment="1">
      <alignment vertical="center"/>
    </xf>
    <xf numFmtId="3" fontId="0" fillId="4" borderId="0" xfId="0" applyNumberFormat="1" applyFill="1" applyBorder="1" applyAlignment="1">
      <alignment vertical="center"/>
    </xf>
    <xf numFmtId="0" fontId="0" fillId="14" borderId="67" xfId="0" applyFill="1" applyBorder="1" applyAlignment="1">
      <alignment vertical="center"/>
    </xf>
    <xf numFmtId="0" fontId="0" fillId="16" borderId="0" xfId="0" applyFill="1" applyAlignment="1">
      <alignment vertical="center"/>
    </xf>
    <xf numFmtId="0" fontId="36" fillId="4" borderId="0" xfId="0" applyFont="1" applyFill="1" applyAlignment="1">
      <alignment vertical="center"/>
    </xf>
    <xf numFmtId="0" fontId="36" fillId="0" borderId="0" xfId="0" applyFont="1" applyAlignment="1">
      <alignment vertical="center"/>
    </xf>
    <xf numFmtId="0" fontId="1" fillId="17" borderId="0" xfId="0" applyFont="1" applyFill="1" applyAlignment="1" applyProtection="1">
      <alignment horizontal="left" vertical="center"/>
    </xf>
    <xf numFmtId="0" fontId="0" fillId="4" borderId="0" xfId="0" applyFill="1" applyAlignment="1" applyProtection="1">
      <alignment vertical="center"/>
    </xf>
    <xf numFmtId="0" fontId="1" fillId="4" borderId="0" xfId="0" applyFont="1" applyFill="1" applyAlignment="1" applyProtection="1">
      <alignment vertical="center"/>
    </xf>
    <xf numFmtId="0" fontId="1" fillId="4" borderId="0" xfId="0" applyFont="1" applyFill="1" applyAlignment="1" applyProtection="1">
      <alignment horizontal="left" vertical="center"/>
    </xf>
    <xf numFmtId="0" fontId="0" fillId="0" borderId="0" xfId="0" applyAlignment="1">
      <alignment horizontal="center" vertical="center"/>
    </xf>
    <xf numFmtId="0" fontId="0" fillId="0" borderId="1" xfId="0" applyBorder="1" applyAlignment="1">
      <alignment horizontal="center" vertical="center"/>
    </xf>
    <xf numFmtId="0" fontId="13" fillId="14" borderId="85" xfId="0" applyFont="1" applyFill="1" applyBorder="1" applyAlignment="1">
      <alignment horizontal="center" vertical="center" wrapText="1"/>
    </xf>
    <xf numFmtId="0" fontId="58" fillId="14" borderId="86" xfId="0" applyFont="1" applyFill="1" applyBorder="1" applyAlignment="1">
      <alignment horizontal="center" vertical="center" wrapText="1"/>
    </xf>
    <xf numFmtId="0" fontId="58" fillId="14" borderId="86" xfId="0" applyFont="1" applyFill="1" applyBorder="1" applyAlignment="1">
      <alignment horizontal="center" vertical="center"/>
    </xf>
    <xf numFmtId="0" fontId="58" fillId="14" borderId="87" xfId="0" applyFont="1" applyFill="1" applyBorder="1" applyAlignment="1">
      <alignment horizontal="center" vertical="center" wrapText="1"/>
    </xf>
    <xf numFmtId="0" fontId="58" fillId="14" borderId="88" xfId="0" applyFont="1" applyFill="1" applyBorder="1" applyAlignment="1">
      <alignment horizontal="center" vertical="center" wrapText="1"/>
    </xf>
    <xf numFmtId="0" fontId="5" fillId="0" borderId="0" xfId="0" applyFont="1" applyAlignment="1">
      <alignment horizontal="center" wrapText="1"/>
    </xf>
    <xf numFmtId="0" fontId="0" fillId="4" borderId="25" xfId="0" applyFill="1" applyBorder="1" applyAlignment="1">
      <alignment horizontal="left" vertical="center" wrapText="1"/>
    </xf>
    <xf numFmtId="0" fontId="0" fillId="4" borderId="1" xfId="0" applyFill="1" applyBorder="1" applyAlignment="1">
      <alignment horizontal="center" vertical="center"/>
    </xf>
    <xf numFmtId="0" fontId="0" fillId="4" borderId="1" xfId="0" applyFill="1" applyBorder="1" applyAlignment="1">
      <alignment horizontal="left" vertical="center" wrapText="1"/>
    </xf>
    <xf numFmtId="0" fontId="0" fillId="4" borderId="1" xfId="0" applyFill="1" applyBorder="1" applyAlignment="1">
      <alignment horizontal="center" vertical="center" wrapText="1"/>
    </xf>
    <xf numFmtId="0" fontId="0" fillId="4" borderId="26" xfId="0" applyFill="1" applyBorder="1" applyAlignment="1">
      <alignment horizontal="center" vertical="center" wrapText="1"/>
    </xf>
    <xf numFmtId="0" fontId="0" fillId="0" borderId="25" xfId="0" quotePrefix="1" applyBorder="1" applyAlignment="1">
      <alignment horizontal="left" vertical="center" wrapText="1"/>
    </xf>
    <xf numFmtId="0" fontId="0" fillId="0" borderId="25" xfId="0" applyBorder="1" applyAlignment="1">
      <alignment horizontal="left" vertical="center" wrapText="1"/>
    </xf>
    <xf numFmtId="0" fontId="0" fillId="0" borderId="25" xfId="0" applyBorder="1" applyAlignment="1">
      <alignment vertical="center" wrapText="1"/>
    </xf>
    <xf numFmtId="8" fontId="0" fillId="4" borderId="1" xfId="0" applyNumberFormat="1" applyFill="1" applyBorder="1" applyAlignment="1">
      <alignment horizontal="center" vertical="center"/>
    </xf>
    <xf numFmtId="6" fontId="0" fillId="4" borderId="1" xfId="0" applyNumberFormat="1" applyFill="1" applyBorder="1" applyAlignment="1">
      <alignment horizontal="center" vertical="center"/>
    </xf>
    <xf numFmtId="0" fontId="36" fillId="4" borderId="1" xfId="0" applyFont="1" applyFill="1" applyBorder="1" applyAlignment="1">
      <alignment horizontal="center" vertical="center" wrapText="1"/>
    </xf>
    <xf numFmtId="0" fontId="36" fillId="4" borderId="1" xfId="0" applyFont="1" applyFill="1" applyBorder="1" applyAlignment="1">
      <alignment horizontal="left" vertical="center" wrapText="1"/>
    </xf>
    <xf numFmtId="0" fontId="36" fillId="4" borderId="26" xfId="0" applyFont="1" applyFill="1" applyBorder="1" applyAlignment="1">
      <alignment horizontal="center" vertical="center" wrapText="1"/>
    </xf>
    <xf numFmtId="0" fontId="36" fillId="4" borderId="1" xfId="0" applyFont="1" applyFill="1" applyBorder="1" applyAlignment="1">
      <alignment horizontal="center" vertical="center"/>
    </xf>
    <xf numFmtId="0" fontId="36" fillId="0" borderId="1" xfId="0" applyFont="1" applyBorder="1" applyAlignment="1">
      <alignment horizontal="left" vertical="center" wrapText="1"/>
    </xf>
    <xf numFmtId="0" fontId="36" fillId="0" borderId="1" xfId="0" applyFont="1" applyBorder="1" applyAlignment="1">
      <alignment horizontal="center" vertical="center" wrapText="1"/>
    </xf>
    <xf numFmtId="0" fontId="36" fillId="0" borderId="26" xfId="0" applyFont="1" applyBorder="1" applyAlignment="1">
      <alignment horizontal="center" vertical="center" wrapText="1"/>
    </xf>
    <xf numFmtId="0" fontId="36" fillId="0" borderId="1" xfId="0" applyFont="1" applyBorder="1" applyAlignment="1">
      <alignment horizontal="center" vertical="center"/>
    </xf>
    <xf numFmtId="6" fontId="0" fillId="0" borderId="1" xfId="0" applyNumberFormat="1" applyBorder="1" applyAlignment="1">
      <alignment horizontal="center" vertical="center"/>
    </xf>
    <xf numFmtId="0" fontId="0" fillId="0" borderId="1" xfId="0" applyBorder="1" applyAlignment="1">
      <alignment vertical="center"/>
    </xf>
    <xf numFmtId="0" fontId="0" fillId="0" borderId="1" xfId="0" applyBorder="1"/>
    <xf numFmtId="0" fontId="0" fillId="4" borderId="29" xfId="0" applyFill="1" applyBorder="1" applyAlignment="1">
      <alignment horizontal="left" vertical="center" wrapText="1"/>
    </xf>
    <xf numFmtId="6" fontId="0" fillId="4" borderId="31" xfId="0" applyNumberFormat="1" applyFill="1" applyBorder="1" applyAlignment="1">
      <alignment horizontal="center" vertical="center"/>
    </xf>
    <xf numFmtId="0" fontId="0" fillId="4" borderId="31" xfId="0" applyFill="1" applyBorder="1" applyAlignment="1">
      <alignment horizontal="center" vertical="center"/>
    </xf>
    <xf numFmtId="0" fontId="0" fillId="4" borderId="30" xfId="0" applyFill="1" applyBorder="1" applyAlignment="1">
      <alignment horizontal="center" vertical="center"/>
    </xf>
    <xf numFmtId="0" fontId="1" fillId="0" borderId="0" xfId="0" applyFont="1" applyAlignment="1">
      <alignment vertical="center"/>
    </xf>
    <xf numFmtId="0" fontId="0" fillId="0" borderId="0" xfId="0" applyAlignment="1">
      <alignment horizontal="right" vertical="center"/>
    </xf>
    <xf numFmtId="0" fontId="0" fillId="4" borderId="31" xfId="0" applyFill="1" applyBorder="1" applyAlignment="1">
      <alignment horizontal="left" vertical="center" wrapText="1"/>
    </xf>
    <xf numFmtId="1" fontId="1" fillId="4" borderId="0" xfId="0" applyNumberFormat="1" applyFont="1" applyFill="1" applyBorder="1" applyAlignment="1" applyProtection="1">
      <alignment horizontal="center"/>
    </xf>
    <xf numFmtId="2" fontId="1" fillId="0" borderId="0" xfId="0" applyNumberFormat="1" applyFont="1" applyAlignment="1">
      <alignment horizontal="center" vertical="center"/>
    </xf>
    <xf numFmtId="0" fontId="0" fillId="0" borderId="0" xfId="0" applyAlignment="1"/>
    <xf numFmtId="0" fontId="31" fillId="3" borderId="0" xfId="0" applyFont="1" applyFill="1" applyBorder="1" applyAlignment="1">
      <alignment vertical="center"/>
    </xf>
    <xf numFmtId="0" fontId="31" fillId="3" borderId="0" xfId="0" quotePrefix="1" applyFont="1" applyFill="1" applyBorder="1" applyAlignment="1">
      <alignment vertical="center"/>
    </xf>
    <xf numFmtId="0" fontId="31" fillId="0" borderId="0" xfId="0" applyFont="1" applyFill="1" applyBorder="1" applyAlignment="1">
      <alignment vertical="center"/>
    </xf>
    <xf numFmtId="0" fontId="1" fillId="4" borderId="0" xfId="0" applyFont="1" applyFill="1"/>
    <xf numFmtId="0" fontId="31" fillId="4" borderId="0" xfId="0" applyFont="1" applyFill="1"/>
    <xf numFmtId="0" fontId="60" fillId="4" borderId="0" xfId="0" applyFont="1" applyFill="1"/>
    <xf numFmtId="0" fontId="62" fillId="4" borderId="0" xfId="0" applyFont="1" applyFill="1"/>
    <xf numFmtId="0" fontId="63" fillId="4" borderId="0" xfId="0" applyFont="1" applyFill="1"/>
    <xf numFmtId="0" fontId="11" fillId="4" borderId="0" xfId="1" applyFill="1" applyAlignment="1"/>
    <xf numFmtId="0" fontId="3" fillId="21" borderId="4" xfId="0" applyFont="1" applyFill="1" applyBorder="1" applyAlignment="1" applyProtection="1">
      <alignment horizontal="center" vertical="center"/>
      <protection locked="0"/>
    </xf>
    <xf numFmtId="0" fontId="3" fillId="21" borderId="1" xfId="0" applyFont="1" applyFill="1" applyBorder="1" applyAlignment="1" applyProtection="1">
      <alignment horizontal="center" vertical="center"/>
      <protection locked="0"/>
    </xf>
    <xf numFmtId="0" fontId="3" fillId="0" borderId="10" xfId="0" applyFont="1" applyBorder="1" applyAlignment="1">
      <alignment horizontal="left" vertical="center"/>
    </xf>
    <xf numFmtId="0" fontId="3" fillId="21" borderId="0" xfId="0" applyFont="1" applyFill="1" applyAlignment="1" applyProtection="1">
      <alignment horizontal="center" vertical="center"/>
      <protection locked="0"/>
    </xf>
    <xf numFmtId="0" fontId="3" fillId="0" borderId="17" xfId="0" applyFont="1" applyBorder="1" applyAlignment="1">
      <alignment vertical="center"/>
    </xf>
    <xf numFmtId="0" fontId="3" fillId="0" borderId="0" xfId="0" applyFont="1"/>
    <xf numFmtId="0" fontId="3" fillId="0" borderId="37" xfId="0" applyFont="1" applyBorder="1" applyAlignment="1">
      <alignment vertical="center"/>
    </xf>
    <xf numFmtId="0" fontId="67" fillId="0" borderId="67" xfId="0" applyFont="1" applyBorder="1"/>
    <xf numFmtId="0" fontId="3" fillId="21" borderId="2" xfId="0" applyFont="1" applyFill="1" applyBorder="1" applyAlignment="1" applyProtection="1">
      <alignment horizontal="center" vertical="center"/>
      <protection locked="0"/>
    </xf>
    <xf numFmtId="0" fontId="3" fillId="0" borderId="19" xfId="0" applyFont="1" applyBorder="1"/>
    <xf numFmtId="0" fontId="3" fillId="0" borderId="17" xfId="0" applyFont="1" applyBorder="1" applyAlignment="1">
      <alignment horizontal="center" vertical="center"/>
    </xf>
    <xf numFmtId="0" fontId="3" fillId="0" borderId="1" xfId="0" applyFont="1" applyBorder="1" applyAlignment="1">
      <alignment vertical="center"/>
    </xf>
    <xf numFmtId="0" fontId="12" fillId="0" borderId="96" xfId="0" applyFont="1" applyBorder="1" applyAlignment="1" applyProtection="1">
      <alignment horizontal="center" vertical="center"/>
      <protection locked="0"/>
    </xf>
    <xf numFmtId="0" fontId="82" fillId="10" borderId="98" xfId="0" applyFont="1" applyFill="1" applyBorder="1" applyAlignment="1">
      <alignment horizontal="center" vertical="center" wrapText="1"/>
    </xf>
    <xf numFmtId="0" fontId="12" fillId="0" borderId="99" xfId="0" applyFont="1" applyBorder="1" applyAlignment="1" applyProtection="1">
      <alignment horizontal="center"/>
      <protection locked="0"/>
    </xf>
    <xf numFmtId="0" fontId="12" fillId="0" borderId="100" xfId="0" applyFont="1" applyBorder="1" applyAlignment="1" applyProtection="1">
      <alignment horizontal="center"/>
      <protection locked="0"/>
    </xf>
    <xf numFmtId="0" fontId="12" fillId="0" borderId="101" xfId="0" applyFont="1" applyBorder="1" applyAlignment="1" applyProtection="1">
      <alignment horizontal="center"/>
      <protection locked="0"/>
    </xf>
    <xf numFmtId="0" fontId="10" fillId="3" borderId="89" xfId="0" applyFont="1" applyFill="1" applyBorder="1"/>
    <xf numFmtId="0" fontId="10" fillId="3" borderId="90" xfId="0" applyFont="1" applyFill="1" applyBorder="1"/>
    <xf numFmtId="0" fontId="82" fillId="10" borderId="89" xfId="0" applyFont="1" applyFill="1" applyBorder="1" applyAlignment="1">
      <alignment horizontal="center" vertical="center" wrapText="1"/>
    </xf>
    <xf numFmtId="0" fontId="82" fillId="10" borderId="90" xfId="0" applyFont="1" applyFill="1" applyBorder="1" applyAlignment="1">
      <alignment horizontal="center" vertical="center" wrapText="1"/>
    </xf>
    <xf numFmtId="0" fontId="82" fillId="10" borderId="91" xfId="0" applyFont="1" applyFill="1" applyBorder="1" applyAlignment="1">
      <alignment horizontal="center" vertical="center" wrapText="1"/>
    </xf>
    <xf numFmtId="1" fontId="3" fillId="0" borderId="92" xfId="6" applyNumberFormat="1" applyFont="1" applyBorder="1" applyAlignment="1" applyProtection="1">
      <alignment horizontal="center"/>
      <protection locked="0"/>
    </xf>
    <xf numFmtId="1" fontId="3" fillId="0" borderId="94" xfId="6" applyNumberFormat="1" applyFont="1" applyBorder="1" applyAlignment="1" applyProtection="1">
      <alignment horizontal="center" wrapText="1"/>
      <protection locked="0"/>
    </xf>
    <xf numFmtId="166" fontId="3" fillId="0" borderId="76" xfId="6" applyNumberFormat="1" applyFont="1" applyBorder="1" applyAlignment="1" applyProtection="1">
      <alignment horizontal="center"/>
      <protection locked="0"/>
    </xf>
    <xf numFmtId="0" fontId="0" fillId="10" borderId="99" xfId="0" applyFill="1" applyBorder="1"/>
    <xf numFmtId="170" fontId="31" fillId="10" borderId="99" xfId="6" applyNumberFormat="1" applyFont="1" applyFill="1" applyBorder="1" applyAlignment="1" applyProtection="1"/>
    <xf numFmtId="166" fontId="31" fillId="10" borderId="99" xfId="0" applyNumberFormat="1" applyFont="1" applyFill="1" applyBorder="1"/>
    <xf numFmtId="0" fontId="0" fillId="10" borderId="101" xfId="0" applyFill="1" applyBorder="1"/>
    <xf numFmtId="170" fontId="31" fillId="10" borderId="101" xfId="6" applyNumberFormat="1" applyFont="1" applyFill="1" applyBorder="1" applyAlignment="1" applyProtection="1"/>
    <xf numFmtId="166" fontId="31" fillId="10" borderId="101" xfId="0" applyNumberFormat="1" applyFont="1" applyFill="1" applyBorder="1"/>
    <xf numFmtId="166" fontId="3" fillId="0" borderId="95" xfId="6" applyNumberFormat="1" applyFont="1" applyBorder="1" applyAlignment="1" applyProtection="1">
      <alignment horizontal="center"/>
      <protection locked="0"/>
    </xf>
    <xf numFmtId="0" fontId="0" fillId="10" borderId="100" xfId="0" applyFill="1" applyBorder="1"/>
    <xf numFmtId="170" fontId="31" fillId="10" borderId="100" xfId="6" applyNumberFormat="1" applyFont="1" applyFill="1" applyBorder="1" applyAlignment="1" applyProtection="1"/>
    <xf numFmtId="166" fontId="31" fillId="10" borderId="100" xfId="0" applyNumberFormat="1" applyFont="1" applyFill="1" applyBorder="1"/>
    <xf numFmtId="0" fontId="0" fillId="0" borderId="98" xfId="0" applyBorder="1"/>
    <xf numFmtId="0" fontId="3" fillId="0" borderId="89" xfId="0" applyFont="1" applyBorder="1" applyAlignment="1">
      <alignment horizontal="right"/>
    </xf>
    <xf numFmtId="0" fontId="0" fillId="0" borderId="90" xfId="0" applyBorder="1"/>
    <xf numFmtId="0" fontId="3" fillId="0" borderId="90" xfId="0" applyFont="1" applyBorder="1"/>
    <xf numFmtId="0" fontId="3" fillId="0" borderId="90" xfId="0" applyFont="1" applyBorder="1" applyAlignment="1">
      <alignment horizontal="right"/>
    </xf>
    <xf numFmtId="0" fontId="3" fillId="0" borderId="76" xfId="0" applyFont="1" applyBorder="1" applyAlignment="1">
      <alignment horizontal="center"/>
    </xf>
    <xf numFmtId="0" fontId="3" fillId="0" borderId="0" xfId="0" applyFont="1" applyAlignment="1">
      <alignment horizontal="center"/>
    </xf>
    <xf numFmtId="0" fontId="0" fillId="0" borderId="77" xfId="0" applyBorder="1" applyAlignment="1">
      <alignment horizontal="center"/>
    </xf>
    <xf numFmtId="0" fontId="3" fillId="0" borderId="77" xfId="0" applyFont="1" applyBorder="1" applyAlignment="1">
      <alignment horizontal="center"/>
    </xf>
    <xf numFmtId="0" fontId="3" fillId="0" borderId="0" xfId="0" quotePrefix="1" applyFont="1" applyAlignment="1">
      <alignment horizontal="center"/>
    </xf>
    <xf numFmtId="0" fontId="3" fillId="0" borderId="101" xfId="0" applyFont="1" applyBorder="1" applyAlignment="1" applyProtection="1">
      <alignment horizontal="center"/>
      <protection locked="0"/>
    </xf>
    <xf numFmtId="0" fontId="3" fillId="0" borderId="76" xfId="0" applyFont="1" applyBorder="1" applyAlignment="1" applyProtection="1">
      <alignment horizontal="center"/>
      <protection locked="0"/>
    </xf>
    <xf numFmtId="0" fontId="3" fillId="0" borderId="77" xfId="0" applyFont="1" applyBorder="1" applyAlignment="1" applyProtection="1">
      <alignment horizontal="center"/>
      <protection locked="0"/>
    </xf>
    <xf numFmtId="1" fontId="3" fillId="0" borderId="76" xfId="0" applyNumberFormat="1" applyFont="1" applyBorder="1" applyAlignment="1" applyProtection="1">
      <alignment horizontal="center"/>
      <protection locked="0"/>
    </xf>
    <xf numFmtId="166" fontId="3" fillId="0" borderId="0" xfId="0" applyNumberFormat="1" applyFont="1" applyAlignment="1" applyProtection="1">
      <alignment horizontal="center"/>
      <protection locked="0"/>
    </xf>
    <xf numFmtId="1" fontId="3" fillId="0" borderId="0" xfId="0" applyNumberFormat="1" applyFont="1" applyAlignment="1">
      <alignment horizontal="center"/>
    </xf>
    <xf numFmtId="1" fontId="3" fillId="0" borderId="0" xfId="0" applyNumberFormat="1" applyFont="1" applyAlignment="1" applyProtection="1">
      <alignment horizontal="center"/>
      <protection locked="0"/>
    </xf>
    <xf numFmtId="3" fontId="3" fillId="0" borderId="0" xfId="0" applyNumberFormat="1" applyFont="1" applyAlignment="1" applyProtection="1">
      <alignment horizontal="center"/>
      <protection locked="0"/>
    </xf>
    <xf numFmtId="1" fontId="3" fillId="0" borderId="77" xfId="0" applyNumberFormat="1" applyFont="1" applyBorder="1" applyAlignment="1" applyProtection="1">
      <alignment horizontal="center"/>
      <protection locked="0"/>
    </xf>
    <xf numFmtId="0" fontId="3" fillId="0" borderId="100" xfId="0" applyFont="1" applyBorder="1" applyAlignment="1" applyProtection="1">
      <alignment horizontal="center"/>
      <protection locked="0"/>
    </xf>
    <xf numFmtId="0" fontId="3" fillId="0" borderId="95" xfId="0" applyFont="1" applyBorder="1" applyAlignment="1" applyProtection="1">
      <alignment horizontal="center"/>
      <protection locked="0"/>
    </xf>
    <xf numFmtId="1" fontId="3" fillId="0" borderId="95" xfId="0" applyNumberFormat="1" applyFont="1" applyBorder="1" applyAlignment="1" applyProtection="1">
      <alignment horizontal="center"/>
      <protection locked="0"/>
    </xf>
    <xf numFmtId="3" fontId="3" fillId="0" borderId="96" xfId="0" applyNumberFormat="1" applyFont="1" applyBorder="1" applyAlignment="1" applyProtection="1">
      <alignment horizontal="center"/>
      <protection locked="0"/>
    </xf>
    <xf numFmtId="1" fontId="3" fillId="0" borderId="97" xfId="0" applyNumberFormat="1" applyFont="1" applyBorder="1" applyAlignment="1" applyProtection="1">
      <alignment horizontal="center"/>
      <protection locked="0"/>
    </xf>
    <xf numFmtId="2" fontId="3" fillId="0" borderId="76" xfId="0" applyNumberFormat="1" applyFont="1" applyBorder="1" applyAlignment="1">
      <alignment horizontal="center"/>
    </xf>
    <xf numFmtId="2" fontId="3" fillId="0" borderId="77" xfId="0" applyNumberFormat="1" applyFont="1" applyBorder="1" applyAlignment="1">
      <alignment horizontal="center"/>
    </xf>
    <xf numFmtId="2" fontId="3" fillId="0" borderId="97" xfId="0" applyNumberFormat="1" applyFont="1" applyBorder="1" applyAlignment="1">
      <alignment horizontal="center"/>
    </xf>
    <xf numFmtId="2" fontId="3" fillId="0" borderId="95" xfId="0" applyNumberFormat="1" applyFont="1" applyBorder="1" applyAlignment="1">
      <alignment horizontal="center"/>
    </xf>
    <xf numFmtId="0" fontId="3" fillId="0" borderId="0" xfId="0" applyFont="1" applyAlignment="1">
      <alignment horizontal="right"/>
    </xf>
    <xf numFmtId="1" fontId="3" fillId="0" borderId="0" xfId="0" applyNumberFormat="1" applyFont="1" applyProtection="1">
      <protection locked="0"/>
    </xf>
    <xf numFmtId="1" fontId="3" fillId="0" borderId="77" xfId="0" applyNumberFormat="1" applyFont="1" applyBorder="1" applyProtection="1">
      <protection locked="0"/>
    </xf>
    <xf numFmtId="0" fontId="3" fillId="10" borderId="99" xfId="0" applyFont="1" applyFill="1" applyBorder="1"/>
    <xf numFmtId="0" fontId="3" fillId="10" borderId="101" xfId="0" applyFont="1" applyFill="1" applyBorder="1"/>
    <xf numFmtId="0" fontId="3" fillId="10" borderId="100" xfId="0" applyFont="1" applyFill="1" applyBorder="1"/>
    <xf numFmtId="2" fontId="3" fillId="0" borderId="93" xfId="0" applyNumberFormat="1" applyFont="1" applyBorder="1" applyAlignment="1" applyProtection="1">
      <alignment horizontal="center" vertical="center"/>
      <protection locked="0"/>
    </xf>
    <xf numFmtId="2" fontId="3" fillId="0" borderId="94" xfId="0" applyNumberFormat="1" applyFont="1" applyBorder="1" applyAlignment="1">
      <alignment horizontal="center" vertical="center"/>
    </xf>
    <xf numFmtId="1" fontId="3" fillId="0" borderId="77" xfId="0" applyNumberFormat="1" applyFont="1" applyBorder="1" applyAlignment="1">
      <alignment horizontal="center" vertical="center"/>
    </xf>
    <xf numFmtId="1" fontId="3" fillId="0" borderId="97" xfId="0" applyNumberFormat="1" applyFont="1" applyBorder="1" applyAlignment="1">
      <alignment horizontal="center" vertical="center"/>
    </xf>
    <xf numFmtId="0" fontId="95" fillId="0" borderId="77" xfId="0" applyFont="1" applyBorder="1" applyAlignment="1">
      <alignment horizontal="center" vertical="center" wrapText="1"/>
    </xf>
    <xf numFmtId="0" fontId="3" fillId="10" borderId="98" xfId="0" applyFont="1" applyFill="1" applyBorder="1"/>
    <xf numFmtId="2" fontId="3" fillId="0" borderId="93" xfId="0" applyNumberFormat="1" applyFont="1" applyBorder="1" applyAlignment="1">
      <alignment horizontal="center" vertical="center"/>
    </xf>
    <xf numFmtId="0" fontId="16" fillId="4" borderId="10" xfId="0" applyFont="1" applyFill="1" applyBorder="1" applyAlignment="1">
      <alignment horizontal="right" vertical="center"/>
    </xf>
    <xf numFmtId="0" fontId="16" fillId="4" borderId="10" xfId="0" applyFont="1" applyFill="1" applyBorder="1" applyAlignment="1">
      <alignment horizontal="center" vertical="center"/>
    </xf>
    <xf numFmtId="0" fontId="3" fillId="21" borderId="0" xfId="0" applyFont="1" applyFill="1" applyBorder="1" applyAlignment="1" applyProtection="1">
      <alignment horizontal="center" vertical="center"/>
      <protection locked="0"/>
    </xf>
    <xf numFmtId="0" fontId="67" fillId="0" borderId="0" xfId="0" applyFont="1" applyBorder="1"/>
    <xf numFmtId="0" fontId="3" fillId="0" borderId="0" xfId="0" applyFont="1" applyBorder="1" applyAlignment="1">
      <alignment horizontal="left"/>
    </xf>
    <xf numFmtId="0" fontId="3" fillId="4" borderId="0" xfId="0" applyFont="1" applyFill="1" applyBorder="1" applyAlignment="1">
      <alignment horizontal="left"/>
    </xf>
    <xf numFmtId="0" fontId="3" fillId="0" borderId="0" xfId="0" applyFont="1" applyBorder="1"/>
    <xf numFmtId="0" fontId="79" fillId="4" borderId="0" xfId="0" applyFont="1" applyFill="1" applyBorder="1" applyAlignment="1">
      <alignment horizontal="left"/>
    </xf>
    <xf numFmtId="0" fontId="80" fillId="0" borderId="0" xfId="0" applyFont="1" applyAlignment="1" applyProtection="1">
      <alignment horizontal="center" vertical="center"/>
    </xf>
    <xf numFmtId="0" fontId="0" fillId="4" borderId="0" xfId="0" applyFill="1" applyBorder="1" applyAlignment="1">
      <alignment horizontal="center" vertical="center"/>
    </xf>
    <xf numFmtId="0" fontId="0" fillId="4" borderId="67" xfId="0" applyFill="1" applyBorder="1" applyAlignment="1">
      <alignment horizontal="center" vertical="center"/>
    </xf>
    <xf numFmtId="0" fontId="0" fillId="14" borderId="67" xfId="0" applyFill="1" applyBorder="1" applyAlignment="1">
      <alignment horizontal="center" vertical="center"/>
    </xf>
    <xf numFmtId="0" fontId="0" fillId="14" borderId="0" xfId="0" applyFill="1" applyBorder="1" applyAlignment="1">
      <alignment horizontal="center" vertical="center"/>
    </xf>
    <xf numFmtId="0" fontId="0" fillId="14" borderId="18" xfId="0" applyFill="1" applyBorder="1" applyAlignment="1">
      <alignment horizontal="center" vertical="center"/>
    </xf>
    <xf numFmtId="0" fontId="0" fillId="4" borderId="18" xfId="0" applyFill="1" applyBorder="1" applyAlignment="1">
      <alignment horizontal="center" vertical="center"/>
    </xf>
    <xf numFmtId="0" fontId="0" fillId="4" borderId="67" xfId="0" applyFill="1" applyBorder="1" applyAlignment="1">
      <alignment vertical="center"/>
    </xf>
    <xf numFmtId="0" fontId="0" fillId="4" borderId="18" xfId="0" applyFill="1" applyBorder="1" applyAlignment="1">
      <alignment vertical="center"/>
    </xf>
    <xf numFmtId="0" fontId="0" fillId="14" borderId="0" xfId="0" applyFill="1" applyBorder="1" applyAlignment="1">
      <alignment vertical="center"/>
    </xf>
    <xf numFmtId="0" fontId="0" fillId="14" borderId="18" xfId="0" applyFill="1" applyBorder="1" applyAlignment="1">
      <alignment vertical="center"/>
    </xf>
    <xf numFmtId="0" fontId="22" fillId="4" borderId="0" xfId="0" applyFont="1" applyFill="1"/>
    <xf numFmtId="0" fontId="11" fillId="4" borderId="0" xfId="1" applyFill="1" applyAlignment="1" applyProtection="1"/>
    <xf numFmtId="1" fontId="6" fillId="16" borderId="1" xfId="0" applyNumberFormat="1" applyFont="1" applyFill="1" applyBorder="1" applyAlignment="1" applyProtection="1">
      <alignment horizontal="center" vertical="center"/>
      <protection locked="0"/>
    </xf>
    <xf numFmtId="165" fontId="6" fillId="16" borderId="1" xfId="0" applyNumberFormat="1" applyFont="1" applyFill="1" applyBorder="1" applyAlignment="1" applyProtection="1">
      <alignment horizontal="center" vertical="center"/>
      <protection locked="0"/>
    </xf>
    <xf numFmtId="0" fontId="31" fillId="4" borderId="0" xfId="0" applyFont="1" applyFill="1" applyAlignment="1">
      <alignment horizontal="center"/>
    </xf>
    <xf numFmtId="0" fontId="31" fillId="16" borderId="0" xfId="0" applyFont="1" applyFill="1" applyAlignment="1"/>
    <xf numFmtId="0" fontId="31" fillId="4" borderId="0" xfId="0" applyFont="1" applyFill="1" applyAlignment="1"/>
    <xf numFmtId="0" fontId="0" fillId="0" borderId="0" xfId="0" applyAlignment="1">
      <alignment horizontal="center" vertical="center"/>
    </xf>
    <xf numFmtId="0" fontId="3" fillId="0" borderId="0" xfId="0" applyFont="1" applyAlignment="1" applyProtection="1">
      <alignment horizontal="center" vertical="center"/>
    </xf>
    <xf numFmtId="0" fontId="3" fillId="0" borderId="0" xfId="0" applyFont="1" applyAlignment="1">
      <alignment horizontal="center" vertical="center"/>
    </xf>
    <xf numFmtId="0" fontId="3" fillId="0" borderId="0" xfId="0" applyFont="1" applyBorder="1" applyAlignment="1">
      <alignment horizontal="right" vertical="center"/>
    </xf>
    <xf numFmtId="0" fontId="3" fillId="0" borderId="0" xfId="0" applyFont="1" applyAlignment="1">
      <alignment horizontal="right" vertical="center"/>
    </xf>
    <xf numFmtId="0" fontId="3" fillId="0" borderId="0" xfId="0" applyFont="1" applyAlignment="1">
      <alignment horizontal="right"/>
    </xf>
    <xf numFmtId="0" fontId="3" fillId="0" borderId="0" xfId="0" applyFont="1" applyAlignment="1">
      <alignment horizontal="left" vertical="center"/>
    </xf>
    <xf numFmtId="0" fontId="0" fillId="0" borderId="0" xfId="0" applyAlignment="1">
      <alignment horizontal="center"/>
    </xf>
    <xf numFmtId="0" fontId="2" fillId="4" borderId="0" xfId="0" applyFont="1" applyFill="1" applyAlignment="1">
      <alignment vertical="center"/>
    </xf>
    <xf numFmtId="0" fontId="2" fillId="0" borderId="0" xfId="0" applyFont="1"/>
    <xf numFmtId="0" fontId="4" fillId="4" borderId="0" xfId="0" applyFont="1" applyFill="1" applyAlignment="1">
      <alignment vertical="center"/>
    </xf>
    <xf numFmtId="0" fontId="10" fillId="0" borderId="0" xfId="0" applyFont="1" applyAlignment="1">
      <alignment vertical="center"/>
    </xf>
    <xf numFmtId="0" fontId="5" fillId="0" borderId="0" xfId="0" applyFont="1" applyAlignment="1">
      <alignment vertical="center"/>
    </xf>
    <xf numFmtId="0" fontId="10" fillId="3" borderId="6" xfId="0" applyFont="1" applyFill="1" applyBorder="1" applyAlignment="1">
      <alignment vertical="center"/>
    </xf>
    <xf numFmtId="0" fontId="10" fillId="3" borderId="5" xfId="0" applyFont="1" applyFill="1" applyBorder="1" applyAlignment="1">
      <alignment vertical="center"/>
    </xf>
    <xf numFmtId="0" fontId="10" fillId="3" borderId="0" xfId="0" applyFont="1" applyFill="1" applyAlignment="1">
      <alignment vertical="center"/>
    </xf>
    <xf numFmtId="0" fontId="0" fillId="0" borderId="5" xfId="0" applyBorder="1"/>
    <xf numFmtId="0" fontId="0" fillId="0" borderId="6" xfId="0" applyBorder="1"/>
    <xf numFmtId="0" fontId="84" fillId="0" borderId="0" xfId="0" applyFont="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1" xfId="0" applyFont="1" applyBorder="1" applyAlignment="1" applyProtection="1">
      <alignment horizontal="center" vertical="center"/>
      <protection locked="0"/>
    </xf>
    <xf numFmtId="0" fontId="0" fillId="0" borderId="8" xfId="0" applyBorder="1"/>
    <xf numFmtId="0" fontId="0" fillId="0" borderId="9" xfId="0" applyBorder="1"/>
    <xf numFmtId="0" fontId="12" fillId="0" borderId="35" xfId="0" applyFont="1" applyBorder="1"/>
    <xf numFmtId="0" fontId="12" fillId="0" borderId="10" xfId="0" applyFont="1" applyBorder="1"/>
    <xf numFmtId="0" fontId="92" fillId="0" borderId="10" xfId="0" applyFont="1" applyBorder="1" applyAlignment="1">
      <alignment vertical="center" wrapText="1"/>
    </xf>
    <xf numFmtId="0" fontId="0" fillId="0" borderId="10" xfId="0" applyBorder="1"/>
    <xf numFmtId="0" fontId="12" fillId="0" borderId="10" xfId="0" applyFont="1" applyBorder="1" applyAlignment="1">
      <alignment horizontal="right"/>
    </xf>
    <xf numFmtId="0" fontId="0" fillId="0" borderId="19" xfId="0" applyBorder="1"/>
    <xf numFmtId="0" fontId="3" fillId="0" borderId="67" xfId="0" applyFont="1" applyBorder="1"/>
    <xf numFmtId="0" fontId="0" fillId="0" borderId="18" xfId="0" applyBorder="1"/>
    <xf numFmtId="0" fontId="3" fillId="0" borderId="18" xfId="0" applyFont="1" applyBorder="1" applyAlignment="1">
      <alignment wrapText="1"/>
    </xf>
    <xf numFmtId="2" fontId="3" fillId="0" borderId="0" xfId="0" applyNumberFormat="1" applyFont="1" applyAlignment="1">
      <alignment horizontal="center"/>
    </xf>
    <xf numFmtId="2" fontId="3" fillId="0" borderId="0" xfId="0" applyNumberFormat="1" applyFont="1"/>
    <xf numFmtId="2" fontId="3" fillId="0" borderId="18" xfId="0" applyNumberFormat="1" applyFont="1" applyBorder="1"/>
    <xf numFmtId="0" fontId="3" fillId="0" borderId="35" xfId="0" applyFont="1" applyBorder="1" applyAlignment="1">
      <alignment horizontal="right"/>
    </xf>
    <xf numFmtId="0" fontId="3" fillId="0" borderId="10" xfId="0" applyFont="1" applyBorder="1" applyAlignment="1">
      <alignment horizontal="right"/>
    </xf>
    <xf numFmtId="2" fontId="3" fillId="0" borderId="10" xfId="0" applyNumberFormat="1" applyFont="1" applyBorder="1" applyAlignment="1">
      <alignment horizontal="right"/>
    </xf>
    <xf numFmtId="0" fontId="0" fillId="0" borderId="10" xfId="0" applyBorder="1" applyAlignment="1">
      <alignment horizontal="right"/>
    </xf>
    <xf numFmtId="0" fontId="3" fillId="0" borderId="35" xfId="0" applyFont="1" applyBorder="1"/>
    <xf numFmtId="0" fontId="14" fillId="0" borderId="0" xfId="0" applyFont="1"/>
    <xf numFmtId="0" fontId="12" fillId="0" borderId="0" xfId="0" applyFont="1"/>
    <xf numFmtId="0" fontId="6" fillId="0" borderId="0" xfId="0" applyFont="1"/>
    <xf numFmtId="0" fontId="12" fillId="0" borderId="0" xfId="0" applyFont="1" applyAlignment="1">
      <alignment vertical="center"/>
    </xf>
    <xf numFmtId="0" fontId="14" fillId="0" borderId="0" xfId="0" applyFont="1" applyAlignment="1">
      <alignment vertical="center"/>
    </xf>
    <xf numFmtId="0" fontId="0" fillId="0" borderId="6" xfId="0" applyBorder="1" applyAlignment="1"/>
    <xf numFmtId="0" fontId="3" fillId="0" borderId="6" xfId="0" applyFont="1" applyBorder="1" applyAlignment="1" applyProtection="1">
      <alignment vertical="center"/>
    </xf>
    <xf numFmtId="0" fontId="10" fillId="3" borderId="6" xfId="0" applyFont="1" applyFill="1" applyBorder="1" applyAlignment="1" applyProtection="1">
      <alignment vertical="center"/>
    </xf>
    <xf numFmtId="0" fontId="0" fillId="0" borderId="5" xfId="0" applyBorder="1" applyProtection="1"/>
    <xf numFmtId="0" fontId="0" fillId="0" borderId="0" xfId="0" applyProtection="1"/>
    <xf numFmtId="0" fontId="0" fillId="0" borderId="6" xfId="0" applyBorder="1" applyProtection="1"/>
    <xf numFmtId="0" fontId="3" fillId="0" borderId="18" xfId="0" applyFont="1" applyBorder="1" applyAlignment="1" applyProtection="1">
      <alignment vertical="center"/>
    </xf>
    <xf numFmtId="0" fontId="3" fillId="0" borderId="5" xfId="0" applyFont="1" applyBorder="1" applyAlignment="1" applyProtection="1">
      <alignment horizontal="center" vertical="center"/>
    </xf>
    <xf numFmtId="0" fontId="3" fillId="0" borderId="0" xfId="0" applyFont="1" applyAlignment="1" applyProtection="1">
      <alignment vertical="center"/>
    </xf>
    <xf numFmtId="0" fontId="3" fillId="0" borderId="119" xfId="0" applyFont="1" applyBorder="1" applyAlignment="1" applyProtection="1">
      <alignment vertical="center"/>
    </xf>
    <xf numFmtId="0" fontId="3" fillId="0" borderId="5" xfId="0" applyFont="1" applyBorder="1" applyAlignment="1" applyProtection="1">
      <alignment horizontal="left" vertical="center"/>
    </xf>
    <xf numFmtId="0" fontId="3" fillId="0" borderId="0" xfId="0" applyFont="1" applyAlignment="1" applyProtection="1">
      <alignment horizontal="left" vertical="center"/>
    </xf>
    <xf numFmtId="0" fontId="3" fillId="0" borderId="6" xfId="0" applyFont="1" applyBorder="1" applyAlignment="1" applyProtection="1">
      <alignment horizontal="center" vertical="center"/>
    </xf>
    <xf numFmtId="0" fontId="3" fillId="0" borderId="5" xfId="0" applyFont="1" applyBorder="1" applyAlignment="1" applyProtection="1">
      <alignment horizontal="right" vertical="center"/>
    </xf>
    <xf numFmtId="0" fontId="3" fillId="0" borderId="0" xfId="0" applyFont="1" applyAlignment="1" applyProtection="1">
      <alignment horizontal="right" vertical="center"/>
    </xf>
    <xf numFmtId="0" fontId="6" fillId="0" borderId="0" xfId="0" applyFont="1" applyAlignment="1" applyProtection="1">
      <alignment horizontal="center" vertical="center"/>
    </xf>
    <xf numFmtId="0" fontId="6" fillId="0" borderId="6" xfId="0" applyFont="1" applyBorder="1" applyAlignment="1" applyProtection="1">
      <alignment horizontal="center" vertical="center"/>
    </xf>
    <xf numFmtId="0" fontId="0" fillId="0" borderId="15" xfId="0" applyBorder="1" applyProtection="1"/>
    <xf numFmtId="0" fontId="0" fillId="0" borderId="5" xfId="0" applyBorder="1" applyAlignment="1"/>
    <xf numFmtId="0" fontId="0" fillId="0" borderId="0" xfId="0" applyBorder="1" applyAlignment="1"/>
    <xf numFmtId="0" fontId="3" fillId="0" borderId="0" xfId="0" applyFont="1" applyBorder="1" applyAlignment="1">
      <alignment horizontal="left" vertical="center"/>
    </xf>
    <xf numFmtId="0" fontId="3" fillId="0" borderId="7" xfId="0" applyFont="1" applyBorder="1"/>
    <xf numFmtId="0" fontId="3" fillId="0" borderId="8" xfId="0" applyFont="1" applyBorder="1"/>
    <xf numFmtId="0" fontId="3" fillId="0" borderId="0" xfId="0" applyFont="1" applyBorder="1" applyAlignment="1" applyProtection="1">
      <alignment horizontal="center" vertical="center"/>
      <protection locked="0"/>
    </xf>
    <xf numFmtId="0" fontId="3" fillId="0" borderId="0" xfId="0" applyFont="1" applyBorder="1" applyAlignment="1">
      <alignment vertical="top"/>
    </xf>
    <xf numFmtId="0" fontId="0" fillId="0" borderId="8" xfId="0" applyBorder="1" applyAlignment="1">
      <alignment vertical="center"/>
    </xf>
    <xf numFmtId="0" fontId="0" fillId="0" borderId="8" xfId="0" applyBorder="1" applyAlignment="1">
      <alignment horizontal="right" vertical="center"/>
    </xf>
    <xf numFmtId="0" fontId="0" fillId="0" borderId="0" xfId="0" applyBorder="1" applyProtection="1"/>
    <xf numFmtId="0" fontId="3" fillId="0" borderId="1" xfId="0" applyFont="1" applyBorder="1" applyAlignment="1" applyProtection="1">
      <alignment horizontal="center" vertical="center"/>
      <protection locked="0"/>
    </xf>
    <xf numFmtId="0" fontId="6" fillId="0" borderId="0" xfId="0" applyFont="1" applyAlignment="1" applyProtection="1">
      <alignment vertical="center"/>
    </xf>
    <xf numFmtId="0" fontId="1" fillId="14" borderId="0" xfId="0" applyFont="1" applyFill="1" applyAlignment="1" applyProtection="1">
      <alignment horizontal="left" vertical="center"/>
    </xf>
    <xf numFmtId="0" fontId="0" fillId="4" borderId="0" xfId="0" applyFill="1" applyBorder="1" applyAlignment="1" applyProtection="1">
      <alignment horizontal="left"/>
    </xf>
    <xf numFmtId="0" fontId="1" fillId="4" borderId="0" xfId="0" applyFont="1" applyFill="1" applyBorder="1" applyAlignment="1" applyProtection="1">
      <alignment horizontal="right"/>
    </xf>
    <xf numFmtId="0" fontId="1" fillId="4" borderId="0" xfId="0" applyFont="1" applyFill="1" applyBorder="1" applyAlignment="1" applyProtection="1">
      <alignment horizontal="center"/>
    </xf>
    <xf numFmtId="0" fontId="1" fillId="4" borderId="0" xfId="0" applyFont="1" applyFill="1" applyBorder="1" applyAlignment="1" applyProtection="1">
      <alignment horizontal="left"/>
    </xf>
    <xf numFmtId="1" fontId="1" fillId="4" borderId="0" xfId="0" applyNumberFormat="1" applyFont="1" applyFill="1" applyBorder="1" applyAlignment="1" applyProtection="1">
      <alignment horizontal="center"/>
    </xf>
    <xf numFmtId="0" fontId="0" fillId="4" borderId="0" xfId="0" applyFill="1" applyBorder="1" applyAlignment="1" applyProtection="1">
      <alignment horizontal="center" vertical="center"/>
    </xf>
    <xf numFmtId="0" fontId="0" fillId="4" borderId="10" xfId="0" applyFill="1" applyBorder="1" applyAlignment="1" applyProtection="1">
      <alignment horizontal="center"/>
      <protection locked="0"/>
    </xf>
    <xf numFmtId="0" fontId="3" fillId="4" borderId="0" xfId="0" applyFont="1" applyFill="1" applyAlignment="1">
      <alignment horizontal="left"/>
    </xf>
    <xf numFmtId="0" fontId="21" fillId="0" borderId="0" xfId="12" applyFont="1" applyAlignment="1">
      <alignment vertical="center" wrapText="1"/>
    </xf>
    <xf numFmtId="173" fontId="31" fillId="0" borderId="0" xfId="0" applyNumberFormat="1" applyFont="1" applyAlignment="1">
      <alignment vertical="center"/>
    </xf>
    <xf numFmtId="0" fontId="8" fillId="0" borderId="0" xfId="0" applyFont="1" applyAlignment="1">
      <alignment vertical="center"/>
    </xf>
    <xf numFmtId="3" fontId="31" fillId="0" borderId="0" xfId="0" applyNumberFormat="1" applyFont="1" applyAlignment="1">
      <alignment vertical="center"/>
    </xf>
    <xf numFmtId="0" fontId="3" fillId="0" borderId="0" xfId="0" applyFont="1" applyAlignment="1">
      <alignment vertical="center" wrapText="1"/>
    </xf>
    <xf numFmtId="3" fontId="31" fillId="0" borderId="0" xfId="0" applyNumberFormat="1" applyFont="1" applyAlignment="1">
      <alignment horizontal="center" vertical="center" wrapText="1"/>
    </xf>
    <xf numFmtId="0" fontId="44" fillId="0" borderId="0" xfId="12" applyFont="1" applyAlignment="1">
      <alignment vertical="center" wrapText="1"/>
    </xf>
    <xf numFmtId="0" fontId="31" fillId="0" borderId="0" xfId="0" applyFont="1"/>
    <xf numFmtId="8" fontId="31" fillId="0" borderId="0" xfId="0" applyNumberFormat="1" applyFont="1"/>
    <xf numFmtId="0" fontId="22" fillId="4" borderId="0" xfId="0" applyFont="1" applyFill="1" applyAlignment="1">
      <alignment horizontal="left"/>
    </xf>
    <xf numFmtId="8" fontId="109" fillId="4" borderId="0" xfId="7" applyNumberFormat="1" applyFont="1" applyFill="1" applyBorder="1" applyAlignment="1" applyProtection="1">
      <alignment horizontal="center"/>
    </xf>
    <xf numFmtId="0" fontId="112" fillId="0" borderId="0" xfId="0" applyFont="1" applyAlignment="1">
      <alignment vertical="center" wrapText="1"/>
    </xf>
    <xf numFmtId="0" fontId="31" fillId="4" borderId="8" xfId="0" applyFont="1" applyFill="1" applyBorder="1" applyAlignment="1">
      <alignment horizontal="center" vertical="center"/>
    </xf>
    <xf numFmtId="0" fontId="0" fillId="0" borderId="2" xfId="0" applyBorder="1"/>
    <xf numFmtId="0" fontId="0" fillId="0" borderId="3" xfId="0" applyBorder="1"/>
    <xf numFmtId="6" fontId="103" fillId="23" borderId="1" xfId="7" applyNumberFormat="1" applyBorder="1" applyAlignment="1"/>
    <xf numFmtId="14" fontId="106" fillId="26" borderId="121" xfId="10" applyNumberFormat="1" applyAlignment="1"/>
    <xf numFmtId="0" fontId="105" fillId="25" borderId="1" xfId="9" applyBorder="1" applyAlignment="1"/>
    <xf numFmtId="38" fontId="103" fillId="23" borderId="1" xfId="7" applyNumberFormat="1" applyBorder="1" applyAlignment="1"/>
    <xf numFmtId="8" fontId="106" fillId="26" borderId="1" xfId="10" applyNumberFormat="1" applyBorder="1" applyAlignment="1"/>
    <xf numFmtId="4" fontId="105" fillId="25" borderId="1" xfId="9" applyNumberFormat="1" applyBorder="1" applyAlignment="1"/>
    <xf numFmtId="8" fontId="103" fillId="23" borderId="1" xfId="7" applyNumberFormat="1" applyBorder="1" applyAlignment="1"/>
    <xf numFmtId="38" fontId="103" fillId="23" borderId="1" xfId="7" quotePrefix="1" applyNumberFormat="1" applyBorder="1" applyAlignment="1"/>
    <xf numFmtId="0" fontId="0" fillId="0" borderId="2" xfId="0" applyBorder="1" applyAlignment="1">
      <alignment vertical="center"/>
    </xf>
    <xf numFmtId="0" fontId="105" fillId="25" borderId="1" xfId="9" applyBorder="1" applyAlignment="1">
      <alignment vertical="center"/>
    </xf>
    <xf numFmtId="0" fontId="106" fillId="26" borderId="1" xfId="10" applyBorder="1" applyAlignment="1"/>
    <xf numFmtId="8" fontId="105" fillId="25" borderId="1" xfId="9" applyNumberFormat="1" applyBorder="1" applyAlignment="1"/>
    <xf numFmtId="9" fontId="0" fillId="0" borderId="0" xfId="3" applyFont="1"/>
    <xf numFmtId="8" fontId="0" fillId="0" borderId="0" xfId="0" applyNumberFormat="1"/>
    <xf numFmtId="0" fontId="32" fillId="27" borderId="1" xfId="0" applyFont="1" applyFill="1" applyBorder="1"/>
    <xf numFmtId="0" fontId="32" fillId="27" borderId="1" xfId="0" applyFont="1" applyFill="1" applyBorder="1" applyAlignment="1">
      <alignment wrapText="1"/>
    </xf>
    <xf numFmtId="0" fontId="32" fillId="27" borderId="38" xfId="0" applyFont="1" applyFill="1" applyBorder="1" applyAlignment="1">
      <alignment wrapText="1"/>
    </xf>
    <xf numFmtId="0" fontId="32" fillId="27" borderId="2" xfId="0" applyFont="1" applyFill="1" applyBorder="1"/>
    <xf numFmtId="0" fontId="32" fillId="27" borderId="17" xfId="0" applyFont="1" applyFill="1" applyBorder="1"/>
    <xf numFmtId="0" fontId="32" fillId="27" borderId="3" xfId="0" applyFont="1" applyFill="1" applyBorder="1"/>
    <xf numFmtId="0" fontId="32" fillId="27" borderId="37" xfId="0" applyFont="1" applyFill="1" applyBorder="1"/>
    <xf numFmtId="0" fontId="32" fillId="27" borderId="4" xfId="0" applyFont="1" applyFill="1" applyBorder="1"/>
    <xf numFmtId="0" fontId="32" fillId="27" borderId="36" xfId="0" applyFont="1" applyFill="1" applyBorder="1" applyAlignment="1">
      <alignment wrapText="1"/>
    </xf>
    <xf numFmtId="0" fontId="32" fillId="28" borderId="1" xfId="0" applyFont="1" applyFill="1" applyBorder="1" applyAlignment="1">
      <alignment wrapText="1"/>
    </xf>
    <xf numFmtId="0" fontId="114" fillId="0" borderId="125" xfId="0" applyFont="1" applyBorder="1"/>
    <xf numFmtId="0" fontId="105" fillId="25" borderId="1" xfId="9" applyBorder="1"/>
    <xf numFmtId="6" fontId="105" fillId="25" borderId="1" xfId="9" applyNumberFormat="1" applyBorder="1"/>
    <xf numFmtId="38" fontId="0" fillId="0" borderId="1" xfId="0" applyNumberFormat="1" applyBorder="1"/>
    <xf numFmtId="8" fontId="0" fillId="0" borderId="1" xfId="0" applyNumberFormat="1" applyBorder="1"/>
    <xf numFmtId="0" fontId="0" fillId="29" borderId="17" xfId="0" applyFill="1" applyBorder="1"/>
    <xf numFmtId="0" fontId="105" fillId="29" borderId="17" xfId="9" applyFill="1" applyBorder="1"/>
    <xf numFmtId="6" fontId="0" fillId="29" borderId="10" xfId="0" applyNumberFormat="1" applyFill="1" applyBorder="1"/>
    <xf numFmtId="38" fontId="0" fillId="29" borderId="17" xfId="0" applyNumberFormat="1" applyFill="1" applyBorder="1"/>
    <xf numFmtId="8" fontId="0" fillId="29" borderId="17" xfId="0" applyNumberFormat="1" applyFill="1" applyBorder="1"/>
    <xf numFmtId="0" fontId="0" fillId="0" borderId="38" xfId="0" applyBorder="1"/>
    <xf numFmtId="0" fontId="0" fillId="0" borderId="17" xfId="0" applyBorder="1"/>
    <xf numFmtId="6" fontId="1" fillId="0" borderId="74" xfId="0" applyNumberFormat="1" applyFont="1" applyBorder="1"/>
    <xf numFmtId="0" fontId="1" fillId="0" borderId="17" xfId="0" applyFont="1" applyBorder="1" applyAlignment="1">
      <alignment horizontal="right"/>
    </xf>
    <xf numFmtId="0" fontId="1" fillId="0" borderId="3" xfId="0" applyFont="1" applyBorder="1" applyAlignment="1">
      <alignment horizontal="right"/>
    </xf>
    <xf numFmtId="38" fontId="1" fillId="0" borderId="3" xfId="0" applyNumberFormat="1" applyFont="1" applyBorder="1"/>
    <xf numFmtId="8" fontId="1" fillId="0" borderId="3" xfId="0" applyNumberFormat="1" applyFont="1" applyBorder="1"/>
    <xf numFmtId="3" fontId="1" fillId="0" borderId="3" xfId="0" applyNumberFormat="1" applyFont="1" applyBorder="1"/>
    <xf numFmtId="0" fontId="34" fillId="0" borderId="0" xfId="0" applyFont="1"/>
    <xf numFmtId="0" fontId="1" fillId="0" borderId="0" xfId="0" applyFont="1" applyAlignment="1">
      <alignment horizontal="left"/>
    </xf>
    <xf numFmtId="0" fontId="36" fillId="0" borderId="0" xfId="0" applyFont="1"/>
    <xf numFmtId="0" fontId="107" fillId="26" borderId="120" xfId="11" applyAlignment="1">
      <alignment horizontal="left"/>
    </xf>
    <xf numFmtId="40" fontId="107" fillId="26" borderId="120" xfId="11" applyNumberFormat="1"/>
    <xf numFmtId="0" fontId="105" fillId="25" borderId="120" xfId="9" applyAlignment="1">
      <alignment horizontal="left"/>
    </xf>
    <xf numFmtId="40" fontId="105" fillId="25" borderId="120" xfId="9" applyNumberFormat="1"/>
    <xf numFmtId="40" fontId="107" fillId="26" borderId="120" xfId="11" quotePrefix="1" applyNumberFormat="1"/>
    <xf numFmtId="40" fontId="105" fillId="25" borderId="120" xfId="9" quotePrefix="1" applyNumberFormat="1"/>
    <xf numFmtId="4" fontId="107" fillId="26" borderId="120" xfId="11" quotePrefix="1" applyNumberFormat="1"/>
    <xf numFmtId="4" fontId="107" fillId="26" borderId="120" xfId="11" applyNumberFormat="1" applyAlignment="1">
      <alignment horizontal="left"/>
    </xf>
    <xf numFmtId="0" fontId="106" fillId="26" borderId="121" xfId="10" applyAlignment="1">
      <alignment horizontal="left"/>
    </xf>
    <xf numFmtId="40" fontId="106" fillId="26" borderId="121" xfId="10" applyNumberFormat="1" applyAlignment="1"/>
    <xf numFmtId="8" fontId="106" fillId="26" borderId="121" xfId="10" applyNumberFormat="1" applyAlignment="1"/>
    <xf numFmtId="4" fontId="107" fillId="26" borderId="120" xfId="11" applyNumberFormat="1"/>
    <xf numFmtId="4" fontId="105" fillId="25" borderId="120" xfId="9" applyNumberFormat="1"/>
    <xf numFmtId="174" fontId="105" fillId="25" borderId="120" xfId="9" applyNumberFormat="1"/>
    <xf numFmtId="4" fontId="106" fillId="26" borderId="121" xfId="10" applyNumberFormat="1" applyAlignment="1"/>
    <xf numFmtId="4" fontId="106" fillId="13" borderId="121" xfId="10" applyNumberFormat="1" applyFill="1" applyAlignment="1"/>
    <xf numFmtId="38" fontId="105" fillId="25" borderId="120" xfId="9" applyNumberFormat="1"/>
    <xf numFmtId="9" fontId="105" fillId="25" borderId="120" xfId="9" applyNumberFormat="1" applyAlignment="1">
      <alignment horizontal="left"/>
    </xf>
    <xf numFmtId="40" fontId="105" fillId="13" borderId="120" xfId="9" applyNumberFormat="1" applyFill="1"/>
    <xf numFmtId="40" fontId="107" fillId="13" borderId="120" xfId="11" applyNumberFormat="1" applyFill="1"/>
    <xf numFmtId="10" fontId="36" fillId="0" borderId="0" xfId="0" applyNumberFormat="1" applyFont="1"/>
    <xf numFmtId="8" fontId="106" fillId="13" borderId="121" xfId="10" applyNumberFormat="1" applyFill="1"/>
    <xf numFmtId="4" fontId="105" fillId="13" borderId="120" xfId="9" applyNumberFormat="1" applyFill="1"/>
    <xf numFmtId="4" fontId="105" fillId="25" borderId="120" xfId="9" quotePrefix="1" applyNumberFormat="1"/>
    <xf numFmtId="4" fontId="105" fillId="13" borderId="120" xfId="9" quotePrefix="1" applyNumberFormat="1" applyFill="1"/>
    <xf numFmtId="4" fontId="107" fillId="13" borderId="120" xfId="11" applyNumberFormat="1" applyFill="1"/>
    <xf numFmtId="4" fontId="106" fillId="26" borderId="121" xfId="10" applyNumberFormat="1"/>
    <xf numFmtId="8" fontId="106" fillId="26" borderId="121" xfId="10" applyNumberFormat="1"/>
    <xf numFmtId="0" fontId="1" fillId="4" borderId="0" xfId="0" applyFont="1" applyFill="1" applyBorder="1"/>
    <xf numFmtId="3" fontId="105" fillId="4" borderId="0" xfId="9" applyNumberFormat="1" applyFill="1" applyBorder="1" applyAlignment="1"/>
    <xf numFmtId="4" fontId="105" fillId="4" borderId="0" xfId="9" applyNumberFormat="1" applyFill="1" applyBorder="1" applyAlignment="1"/>
    <xf numFmtId="4" fontId="105" fillId="4" borderId="0" xfId="9" applyNumberFormat="1" applyFill="1" applyBorder="1"/>
    <xf numFmtId="0" fontId="105" fillId="4" borderId="0" xfId="9" applyFill="1" applyBorder="1" applyAlignment="1"/>
    <xf numFmtId="9" fontId="105" fillId="4" borderId="0" xfId="9" applyNumberFormat="1" applyFill="1" applyBorder="1" applyAlignment="1"/>
    <xf numFmtId="0" fontId="16" fillId="4" borderId="0" xfId="0" applyFont="1" applyFill="1" applyBorder="1"/>
    <xf numFmtId="175" fontId="0" fillId="0" borderId="0" xfId="0" applyNumberFormat="1"/>
    <xf numFmtId="0" fontId="0" fillId="0" borderId="0" xfId="0" applyFill="1"/>
    <xf numFmtId="14" fontId="44" fillId="0" borderId="0" xfId="4" applyNumberFormat="1" applyFont="1" applyFill="1" applyBorder="1" applyAlignment="1" applyProtection="1">
      <alignment horizontal="center" vertical="center"/>
    </xf>
    <xf numFmtId="176" fontId="107" fillId="26" borderId="120" xfId="11" applyNumberFormat="1"/>
    <xf numFmtId="0" fontId="31" fillId="0" borderId="0" xfId="0" applyFont="1" applyAlignment="1"/>
    <xf numFmtId="8" fontId="31" fillId="0" borderId="0" xfId="0" applyNumberFormat="1" applyFont="1" applyAlignment="1"/>
    <xf numFmtId="0" fontId="41" fillId="0" borderId="0" xfId="0" applyFont="1"/>
    <xf numFmtId="0" fontId="0" fillId="4" borderId="0" xfId="0" applyFill="1" applyAlignment="1">
      <alignment horizontal="right" vertical="center"/>
    </xf>
    <xf numFmtId="0" fontId="1" fillId="4" borderId="0" xfId="0" applyFont="1" applyFill="1" applyAlignment="1">
      <alignment horizontal="left" vertical="center"/>
    </xf>
    <xf numFmtId="0" fontId="11" fillId="4" borderId="0" xfId="1" applyFill="1" applyAlignment="1" applyProtection="1">
      <alignment horizontal="center"/>
      <protection locked="0"/>
    </xf>
    <xf numFmtId="0" fontId="31" fillId="4" borderId="0" xfId="0" applyFont="1" applyFill="1" applyAlignment="1">
      <alignment horizontal="center"/>
    </xf>
    <xf numFmtId="0" fontId="64" fillId="4" borderId="0" xfId="1" applyFont="1" applyFill="1" applyAlignment="1" applyProtection="1">
      <alignment horizontal="left"/>
      <protection locked="0"/>
    </xf>
    <xf numFmtId="0" fontId="64" fillId="0" borderId="0" xfId="1" applyFont="1" applyAlignment="1" applyProtection="1">
      <alignment horizontal="left"/>
      <protection locked="0"/>
    </xf>
    <xf numFmtId="0" fontId="47" fillId="4" borderId="5" xfId="0" applyFont="1" applyFill="1" applyBorder="1" applyAlignment="1" applyProtection="1">
      <alignment horizontal="left" vertical="top" wrapText="1"/>
      <protection locked="0"/>
    </xf>
    <xf numFmtId="0" fontId="47" fillId="4" borderId="0" xfId="0" applyFont="1" applyFill="1" applyBorder="1" applyAlignment="1" applyProtection="1">
      <alignment horizontal="left" vertical="top" wrapText="1"/>
      <protection locked="0"/>
    </xf>
    <xf numFmtId="0" fontId="47" fillId="4" borderId="6" xfId="0" applyFont="1" applyFill="1" applyBorder="1" applyAlignment="1" applyProtection="1">
      <alignment horizontal="left" vertical="top" wrapText="1"/>
      <protection locked="0"/>
    </xf>
    <xf numFmtId="0" fontId="47" fillId="4" borderId="7" xfId="0" applyFont="1" applyFill="1" applyBorder="1" applyAlignment="1" applyProtection="1">
      <alignment horizontal="left" vertical="top" wrapText="1"/>
      <protection locked="0"/>
    </xf>
    <xf numFmtId="0" fontId="47" fillId="4" borderId="8" xfId="0" applyFont="1" applyFill="1" applyBorder="1" applyAlignment="1" applyProtection="1">
      <alignment horizontal="left" vertical="top" wrapText="1"/>
      <protection locked="0"/>
    </xf>
    <xf numFmtId="0" fontId="47" fillId="4" borderId="9" xfId="0" applyFont="1" applyFill="1" applyBorder="1" applyAlignment="1" applyProtection="1">
      <alignment horizontal="left" vertical="top" wrapText="1"/>
      <protection locked="0"/>
    </xf>
    <xf numFmtId="0" fontId="16" fillId="4" borderId="5" xfId="0" applyFont="1" applyFill="1" applyBorder="1" applyAlignment="1" applyProtection="1">
      <alignment horizontal="center" vertical="center"/>
    </xf>
    <xf numFmtId="0" fontId="16" fillId="4" borderId="0" xfId="0" applyFont="1" applyFill="1" applyBorder="1" applyAlignment="1" applyProtection="1">
      <alignment horizontal="center" vertical="center"/>
    </xf>
    <xf numFmtId="0" fontId="22" fillId="4" borderId="0" xfId="0" applyFont="1" applyFill="1" applyBorder="1" applyAlignment="1" applyProtection="1">
      <alignment horizontal="center" vertical="center"/>
      <protection locked="0"/>
    </xf>
    <xf numFmtId="0" fontId="3" fillId="4" borderId="0" xfId="0" applyFont="1" applyFill="1" applyBorder="1" applyAlignment="1" applyProtection="1">
      <alignment horizontal="right" vertical="center"/>
    </xf>
    <xf numFmtId="3" fontId="17" fillId="4" borderId="0" xfId="0" applyNumberFormat="1" applyFont="1" applyFill="1" applyBorder="1" applyAlignment="1" applyProtection="1">
      <alignment horizontal="center" vertical="center" wrapText="1"/>
      <protection locked="0"/>
    </xf>
    <xf numFmtId="3" fontId="17" fillId="4" borderId="6" xfId="0" applyNumberFormat="1" applyFont="1" applyFill="1" applyBorder="1" applyAlignment="1" applyProtection="1">
      <alignment horizontal="center" vertical="center" wrapText="1"/>
      <protection locked="0"/>
    </xf>
    <xf numFmtId="0" fontId="16" fillId="4" borderId="14" xfId="0" applyFont="1" applyFill="1" applyBorder="1" applyAlignment="1" applyProtection="1">
      <alignment horizontal="center" vertical="center"/>
    </xf>
    <xf numFmtId="0" fontId="16" fillId="4" borderId="10" xfId="0" applyFont="1" applyFill="1" applyBorder="1" applyAlignment="1" applyProtection="1">
      <alignment horizontal="center" vertical="center"/>
    </xf>
    <xf numFmtId="0" fontId="16" fillId="4" borderId="15" xfId="0" applyFont="1" applyFill="1" applyBorder="1" applyAlignment="1" applyProtection="1">
      <alignment horizontal="center" vertical="center"/>
    </xf>
    <xf numFmtId="0" fontId="16" fillId="4" borderId="23" xfId="0" applyFont="1" applyFill="1" applyBorder="1" applyAlignment="1" applyProtection="1">
      <alignment horizontal="center" vertical="center"/>
    </xf>
    <xf numFmtId="0" fontId="16" fillId="4" borderId="4" xfId="0" applyFont="1" applyFill="1" applyBorder="1" applyAlignment="1" applyProtection="1">
      <alignment horizontal="center" vertical="center"/>
    </xf>
    <xf numFmtId="0" fontId="16" fillId="4" borderId="24" xfId="0" applyFont="1" applyFill="1" applyBorder="1" applyAlignment="1" applyProtection="1">
      <alignment horizontal="center" vertical="center"/>
    </xf>
    <xf numFmtId="0" fontId="16" fillId="4" borderId="7" xfId="0" applyFont="1" applyFill="1" applyBorder="1" applyAlignment="1" applyProtection="1">
      <alignment horizontal="center" vertical="center"/>
    </xf>
    <xf numFmtId="0" fontId="16" fillId="4" borderId="8" xfId="0" applyFont="1" applyFill="1" applyBorder="1" applyAlignment="1" applyProtection="1">
      <alignment horizontal="center" vertical="center"/>
    </xf>
    <xf numFmtId="0" fontId="16" fillId="4" borderId="9" xfId="0" applyFont="1" applyFill="1" applyBorder="1" applyAlignment="1" applyProtection="1">
      <alignment horizontal="center" vertical="center"/>
    </xf>
    <xf numFmtId="0" fontId="3" fillId="4" borderId="0" xfId="0" applyFont="1" applyFill="1" applyBorder="1" applyAlignment="1" applyProtection="1">
      <alignment horizontal="right" vertical="center" wrapText="1"/>
    </xf>
    <xf numFmtId="3" fontId="17" fillId="4" borderId="18" xfId="0" applyNumberFormat="1" applyFont="1" applyFill="1" applyBorder="1" applyAlignment="1" applyProtection="1">
      <alignment horizontal="center" vertical="center" wrapText="1"/>
      <protection locked="0"/>
    </xf>
    <xf numFmtId="0" fontId="8" fillId="6" borderId="5" xfId="0" applyFont="1" applyFill="1" applyBorder="1" applyAlignment="1" applyProtection="1">
      <alignment horizontal="left" vertical="center"/>
    </xf>
    <xf numFmtId="0" fontId="8" fillId="6" borderId="0" xfId="0" applyFont="1" applyFill="1" applyBorder="1" applyAlignment="1" applyProtection="1">
      <alignment horizontal="left" vertical="center"/>
    </xf>
    <xf numFmtId="0" fontId="3" fillId="4" borderId="5" xfId="0" applyFont="1" applyFill="1" applyBorder="1" applyAlignment="1" applyProtection="1">
      <alignment horizontal="right" vertical="center"/>
    </xf>
    <xf numFmtId="0" fontId="3" fillId="4" borderId="5" xfId="0" applyFont="1" applyFill="1" applyBorder="1" applyAlignment="1" applyProtection="1">
      <alignment horizontal="right" vertical="center" wrapText="1"/>
    </xf>
    <xf numFmtId="0" fontId="17" fillId="4" borderId="0" xfId="0" applyFont="1" applyFill="1" applyBorder="1" applyAlignment="1" applyProtection="1">
      <alignment horizontal="center" vertical="center" wrapText="1"/>
      <protection locked="0"/>
    </xf>
    <xf numFmtId="0" fontId="46" fillId="6" borderId="23" xfId="0" applyFont="1" applyFill="1" applyBorder="1" applyAlignment="1" applyProtection="1">
      <alignment horizontal="left" vertical="center"/>
    </xf>
    <xf numFmtId="0" fontId="43" fillId="6" borderId="4" xfId="0" applyFont="1" applyFill="1" applyBorder="1" applyAlignment="1" applyProtection="1">
      <alignment horizontal="left" vertical="center"/>
    </xf>
    <xf numFmtId="0" fontId="43" fillId="6" borderId="24" xfId="0" applyFont="1" applyFill="1" applyBorder="1" applyAlignment="1" applyProtection="1">
      <alignment horizontal="left" vertical="center"/>
    </xf>
    <xf numFmtId="0" fontId="10" fillId="3" borderId="11" xfId="0" applyFont="1" applyFill="1" applyBorder="1" applyAlignment="1" applyProtection="1">
      <alignment horizontal="left" vertical="center"/>
    </xf>
    <xf numFmtId="0" fontId="10" fillId="3" borderId="12" xfId="0" applyFont="1" applyFill="1" applyBorder="1" applyAlignment="1" applyProtection="1">
      <alignment horizontal="left" vertical="center"/>
    </xf>
    <xf numFmtId="0" fontId="10" fillId="3" borderId="13" xfId="0" applyFont="1" applyFill="1" applyBorder="1" applyAlignment="1" applyProtection="1">
      <alignment horizontal="left" vertical="center"/>
    </xf>
    <xf numFmtId="0" fontId="0" fillId="0" borderId="34" xfId="0" applyFill="1" applyBorder="1" applyAlignment="1" applyProtection="1">
      <alignment horizontal="center"/>
    </xf>
    <xf numFmtId="0" fontId="17" fillId="4" borderId="6" xfId="0" applyFont="1" applyFill="1" applyBorder="1" applyAlignment="1" applyProtection="1">
      <alignment horizontal="center" vertical="center" wrapText="1"/>
      <protection locked="0"/>
    </xf>
    <xf numFmtId="0" fontId="10" fillId="3" borderId="27" xfId="0" applyFont="1" applyFill="1" applyBorder="1" applyAlignment="1" applyProtection="1">
      <alignment horizontal="left" vertical="center"/>
    </xf>
    <xf numFmtId="0" fontId="10" fillId="3" borderId="28" xfId="0" applyFont="1" applyFill="1" applyBorder="1" applyAlignment="1" applyProtection="1">
      <alignment horizontal="left" vertical="center"/>
    </xf>
    <xf numFmtId="0" fontId="10" fillId="3" borderId="32" xfId="0" applyFont="1" applyFill="1" applyBorder="1" applyAlignment="1" applyProtection="1">
      <alignment horizontal="left" vertical="center"/>
    </xf>
    <xf numFmtId="0" fontId="9" fillId="11" borderId="5" xfId="0" applyFont="1" applyFill="1" applyBorder="1" applyAlignment="1" applyProtection="1">
      <alignment horizontal="left" vertical="center"/>
    </xf>
    <xf numFmtId="0" fontId="8" fillId="11" borderId="0" xfId="0" applyFont="1" applyFill="1" applyBorder="1" applyAlignment="1" applyProtection="1">
      <alignment horizontal="left" vertical="center"/>
    </xf>
    <xf numFmtId="0" fontId="8" fillId="11" borderId="6" xfId="0" applyFont="1" applyFill="1" applyBorder="1" applyAlignment="1" applyProtection="1">
      <alignment horizontal="left" vertical="center"/>
    </xf>
    <xf numFmtId="0" fontId="40" fillId="6" borderId="5" xfId="0" applyFont="1" applyFill="1" applyBorder="1" applyAlignment="1" applyProtection="1">
      <alignment horizontal="center" vertical="center"/>
    </xf>
    <xf numFmtId="0" fontId="40" fillId="6" borderId="0" xfId="0" applyFont="1" applyFill="1" applyBorder="1" applyAlignment="1" applyProtection="1">
      <alignment horizontal="center" vertical="center"/>
    </xf>
    <xf numFmtId="0" fontId="40" fillId="6" borderId="18" xfId="0" applyFont="1" applyFill="1" applyBorder="1" applyAlignment="1" applyProtection="1">
      <alignment horizontal="center" vertical="center"/>
    </xf>
    <xf numFmtId="0" fontId="56" fillId="6" borderId="0" xfId="0" applyFont="1" applyFill="1" applyBorder="1" applyAlignment="1" applyProtection="1">
      <alignment horizontal="center" vertical="center"/>
    </xf>
    <xf numFmtId="0" fontId="56" fillId="6" borderId="6" xfId="0" applyFont="1" applyFill="1" applyBorder="1" applyAlignment="1" applyProtection="1">
      <alignment horizontal="center" vertical="center"/>
    </xf>
    <xf numFmtId="0" fontId="17" fillId="4" borderId="0" xfId="0" applyFont="1" applyFill="1" applyBorder="1" applyAlignment="1" applyProtection="1">
      <alignment horizontal="center" vertical="center"/>
      <protection locked="0"/>
    </xf>
    <xf numFmtId="0" fontId="2" fillId="4" borderId="0" xfId="0" applyFont="1" applyFill="1" applyAlignment="1">
      <alignment horizontal="left"/>
    </xf>
    <xf numFmtId="1" fontId="17" fillId="4" borderId="0" xfId="0" applyNumberFormat="1" applyFont="1" applyFill="1" applyBorder="1" applyAlignment="1" applyProtection="1">
      <alignment horizontal="center" vertical="center"/>
      <protection locked="0"/>
    </xf>
    <xf numFmtId="1" fontId="17" fillId="4" borderId="6" xfId="0" applyNumberFormat="1" applyFont="1" applyFill="1" applyBorder="1" applyAlignment="1" applyProtection="1">
      <alignment horizontal="center" vertical="center"/>
      <protection locked="0"/>
    </xf>
    <xf numFmtId="0" fontId="17" fillId="4" borderId="0" xfId="0" applyNumberFormat="1" applyFont="1" applyFill="1" applyBorder="1" applyAlignment="1" applyProtection="1">
      <alignment horizontal="center" vertical="center" wrapText="1"/>
      <protection locked="0"/>
    </xf>
    <xf numFmtId="0" fontId="3" fillId="4" borderId="0" xfId="0" applyFont="1" applyFill="1" applyBorder="1" applyAlignment="1">
      <alignment horizontal="left" vertical="center"/>
    </xf>
    <xf numFmtId="0" fontId="0" fillId="0" borderId="8" xfId="0" applyBorder="1" applyAlignment="1">
      <alignment horizontal="center"/>
    </xf>
    <xf numFmtId="0" fontId="31" fillId="4" borderId="5" xfId="0" applyFont="1" applyFill="1" applyBorder="1" applyAlignment="1">
      <alignment horizontal="left" vertical="center"/>
    </xf>
    <xf numFmtId="0" fontId="31" fillId="4" borderId="0" xfId="0" applyFont="1" applyFill="1" applyBorder="1" applyAlignment="1">
      <alignment horizontal="left" vertical="center"/>
    </xf>
    <xf numFmtId="0" fontId="31" fillId="4" borderId="0" xfId="0" applyFont="1" applyFill="1" applyBorder="1" applyAlignment="1">
      <alignment horizontal="right" vertical="center"/>
    </xf>
    <xf numFmtId="173" fontId="22" fillId="4" borderId="0" xfId="0" applyNumberFormat="1" applyFont="1" applyFill="1" applyBorder="1" applyAlignment="1" applyProtection="1">
      <alignment horizontal="center" vertical="center"/>
      <protection locked="0"/>
    </xf>
    <xf numFmtId="173" fontId="22" fillId="4" borderId="6" xfId="0" applyNumberFormat="1" applyFont="1" applyFill="1" applyBorder="1" applyAlignment="1" applyProtection="1">
      <alignment horizontal="center" vertical="center"/>
      <protection locked="0"/>
    </xf>
    <xf numFmtId="0" fontId="3" fillId="4" borderId="5" xfId="0" applyFont="1" applyFill="1" applyBorder="1" applyAlignment="1">
      <alignment horizontal="center" vertical="center"/>
    </xf>
    <xf numFmtId="0" fontId="7" fillId="4" borderId="0" xfId="0" applyFont="1" applyFill="1" applyBorder="1" applyAlignment="1">
      <alignment horizontal="center" vertical="center"/>
    </xf>
    <xf numFmtId="164" fontId="3" fillId="4" borderId="0" xfId="0" applyNumberFormat="1" applyFont="1" applyFill="1" applyBorder="1" applyAlignment="1" applyProtection="1">
      <alignment horizontal="right" vertical="center" wrapText="1"/>
    </xf>
    <xf numFmtId="0" fontId="4" fillId="4" borderId="0" xfId="0" applyFont="1" applyFill="1" applyAlignment="1">
      <alignment horizontal="left"/>
    </xf>
    <xf numFmtId="0" fontId="16" fillId="4" borderId="0" xfId="0" applyFont="1" applyFill="1" applyBorder="1" applyAlignment="1" applyProtection="1">
      <alignment horizontal="right" vertical="center"/>
    </xf>
    <xf numFmtId="0" fontId="6" fillId="4" borderId="0" xfId="0" applyFont="1" applyFill="1" applyBorder="1" applyAlignment="1" applyProtection="1">
      <alignment horizontal="center" vertical="center"/>
      <protection locked="0"/>
    </xf>
    <xf numFmtId="0" fontId="6" fillId="4" borderId="6" xfId="0" applyFont="1" applyFill="1" applyBorder="1" applyAlignment="1" applyProtection="1">
      <alignment horizontal="center" vertical="center"/>
      <protection locked="0"/>
    </xf>
    <xf numFmtId="0" fontId="10" fillId="4" borderId="5" xfId="0" applyFont="1" applyFill="1" applyBorder="1" applyAlignment="1" applyProtection="1">
      <alignment horizontal="center" vertical="center"/>
    </xf>
    <xf numFmtId="0" fontId="10" fillId="4" borderId="0" xfId="0" applyFont="1" applyFill="1" applyBorder="1" applyAlignment="1" applyProtection="1">
      <alignment horizontal="center" vertical="center"/>
    </xf>
    <xf numFmtId="0" fontId="10" fillId="4" borderId="6" xfId="0" applyFont="1" applyFill="1" applyBorder="1" applyAlignment="1" applyProtection="1">
      <alignment horizontal="center" vertical="center"/>
    </xf>
    <xf numFmtId="0" fontId="31" fillId="4" borderId="5" xfId="0" applyFont="1" applyFill="1" applyBorder="1" applyAlignment="1" applyProtection="1">
      <alignment horizontal="center" vertical="center"/>
    </xf>
    <xf numFmtId="0" fontId="31" fillId="4" borderId="0" xfId="0" applyFont="1" applyFill="1" applyBorder="1" applyAlignment="1" applyProtection="1">
      <alignment horizontal="center" vertical="center"/>
    </xf>
    <xf numFmtId="0" fontId="0" fillId="0" borderId="34" xfId="0" applyBorder="1" applyAlignment="1" applyProtection="1">
      <alignment horizontal="center"/>
    </xf>
    <xf numFmtId="0" fontId="31" fillId="4" borderId="0" xfId="0" applyFont="1" applyFill="1" applyBorder="1" applyAlignment="1" applyProtection="1">
      <alignment horizontal="right" vertical="center"/>
    </xf>
    <xf numFmtId="0" fontId="10" fillId="3" borderId="27" xfId="0" applyFont="1" applyFill="1" applyBorder="1" applyAlignment="1">
      <alignment horizontal="left" vertical="center"/>
    </xf>
    <xf numFmtId="0" fontId="10" fillId="3" borderId="28" xfId="0" applyFont="1" applyFill="1" applyBorder="1" applyAlignment="1">
      <alignment horizontal="left" vertical="center"/>
    </xf>
    <xf numFmtId="0" fontId="10" fillId="3" borderId="32" xfId="0" applyFont="1" applyFill="1" applyBorder="1" applyAlignment="1">
      <alignment horizontal="left" vertical="center"/>
    </xf>
    <xf numFmtId="0" fontId="10" fillId="4" borderId="5"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6" xfId="0" applyFont="1" applyFill="1" applyBorder="1" applyAlignment="1">
      <alignment horizontal="center" vertical="center"/>
    </xf>
    <xf numFmtId="0" fontId="31" fillId="4" borderId="5" xfId="0" applyFont="1" applyFill="1" applyBorder="1" applyAlignment="1">
      <alignment horizontal="center" vertical="center"/>
    </xf>
    <xf numFmtId="0" fontId="31" fillId="4" borderId="0" xfId="0" applyFont="1" applyFill="1" applyBorder="1" applyAlignment="1">
      <alignment horizontal="center" vertical="center"/>
    </xf>
    <xf numFmtId="0" fontId="31" fillId="4" borderId="6" xfId="0" applyFont="1" applyFill="1" applyBorder="1" applyAlignment="1">
      <alignment horizontal="center" vertical="center"/>
    </xf>
    <xf numFmtId="0" fontId="7" fillId="4" borderId="5" xfId="0" applyFont="1" applyFill="1" applyBorder="1" applyAlignment="1">
      <alignment horizontal="center" vertical="center"/>
    </xf>
    <xf numFmtId="0" fontId="7" fillId="4" borderId="6" xfId="0" applyFont="1" applyFill="1" applyBorder="1" applyAlignment="1">
      <alignment horizontal="center" vertical="center"/>
    </xf>
    <xf numFmtId="0" fontId="31" fillId="4" borderId="7" xfId="0" applyFont="1" applyFill="1" applyBorder="1" applyAlignment="1" applyProtection="1">
      <alignment horizontal="center" vertical="center"/>
    </xf>
    <xf numFmtId="0" fontId="31" fillId="4" borderId="8" xfId="0" applyFont="1" applyFill="1" applyBorder="1" applyAlignment="1" applyProtection="1">
      <alignment horizontal="center" vertical="center"/>
    </xf>
    <xf numFmtId="0" fontId="31" fillId="4" borderId="9" xfId="0" applyFont="1" applyFill="1" applyBorder="1" applyAlignment="1" applyProtection="1">
      <alignment horizontal="center" vertical="center"/>
    </xf>
    <xf numFmtId="0" fontId="31" fillId="4" borderId="14" xfId="0" applyFont="1" applyFill="1" applyBorder="1" applyAlignment="1">
      <alignment horizontal="center" vertical="center"/>
    </xf>
    <xf numFmtId="0" fontId="31" fillId="4" borderId="10" xfId="0" applyFont="1" applyFill="1" applyBorder="1" applyAlignment="1">
      <alignment horizontal="center" vertical="center"/>
    </xf>
    <xf numFmtId="0" fontId="31" fillId="4" borderId="15" xfId="0" applyFont="1" applyFill="1" applyBorder="1" applyAlignment="1">
      <alignment horizontal="center" vertical="center"/>
    </xf>
    <xf numFmtId="0" fontId="7" fillId="4" borderId="14" xfId="0" applyFont="1" applyFill="1" applyBorder="1" applyAlignment="1">
      <alignment horizontal="center" vertical="center"/>
    </xf>
    <xf numFmtId="0" fontId="7" fillId="4" borderId="10" xfId="0" applyFont="1" applyFill="1" applyBorder="1" applyAlignment="1">
      <alignment horizontal="center" vertical="center"/>
    </xf>
    <xf numFmtId="0" fontId="7" fillId="4" borderId="15" xfId="0" applyFont="1" applyFill="1" applyBorder="1" applyAlignment="1">
      <alignment horizontal="center" vertical="center"/>
    </xf>
    <xf numFmtId="0" fontId="3" fillId="4" borderId="0" xfId="0" applyFont="1" applyFill="1" applyBorder="1" applyAlignment="1" applyProtection="1">
      <alignment horizontal="left" vertical="center"/>
    </xf>
    <xf numFmtId="0" fontId="3" fillId="4" borderId="6" xfId="0" applyFont="1" applyFill="1" applyBorder="1" applyAlignment="1" applyProtection="1">
      <alignment horizontal="left" vertical="center"/>
    </xf>
    <xf numFmtId="0" fontId="17" fillId="0" borderId="0" xfId="0" applyFont="1" applyBorder="1" applyAlignment="1" applyProtection="1">
      <alignment horizontal="center" vertical="center" wrapText="1"/>
      <protection locked="0"/>
    </xf>
    <xf numFmtId="0" fontId="3" fillId="4" borderId="23" xfId="0" applyFont="1" applyFill="1" applyBorder="1" applyAlignment="1" applyProtection="1">
      <alignment horizontal="center" vertical="center" wrapText="1"/>
    </xf>
    <xf numFmtId="0" fontId="3" fillId="4" borderId="4" xfId="0" applyFont="1" applyFill="1" applyBorder="1" applyAlignment="1" applyProtection="1">
      <alignment horizontal="center" vertical="center" wrapText="1"/>
    </xf>
    <xf numFmtId="0" fontId="3" fillId="4" borderId="24" xfId="0" applyFont="1" applyFill="1" applyBorder="1" applyAlignment="1" applyProtection="1">
      <alignment horizontal="center" vertical="center" wrapText="1"/>
    </xf>
    <xf numFmtId="0" fontId="3" fillId="4" borderId="14" xfId="0" applyFont="1" applyFill="1" applyBorder="1" applyAlignment="1" applyProtection="1">
      <alignment horizontal="center" vertical="center" wrapText="1"/>
    </xf>
    <xf numFmtId="0" fontId="3" fillId="4" borderId="10" xfId="0" applyFont="1" applyFill="1" applyBorder="1" applyAlignment="1" applyProtection="1">
      <alignment horizontal="center" vertical="center" wrapText="1"/>
    </xf>
    <xf numFmtId="0" fontId="3" fillId="4" borderId="15" xfId="0" applyFont="1" applyFill="1" applyBorder="1" applyAlignment="1" applyProtection="1">
      <alignment horizontal="center" vertical="center" wrapText="1"/>
    </xf>
    <xf numFmtId="0" fontId="3" fillId="4" borderId="19" xfId="0" applyFont="1" applyFill="1" applyBorder="1" applyAlignment="1" applyProtection="1">
      <alignment horizontal="center" vertical="center" wrapText="1"/>
    </xf>
    <xf numFmtId="0" fontId="3" fillId="4" borderId="36" xfId="0" applyFont="1" applyFill="1" applyBorder="1" applyAlignment="1" applyProtection="1">
      <alignment horizontal="center" vertical="center" wrapText="1"/>
    </xf>
    <xf numFmtId="0" fontId="3" fillId="4" borderId="10" xfId="0" applyFont="1" applyFill="1" applyBorder="1" applyAlignment="1" applyProtection="1">
      <alignment horizontal="center" vertical="center"/>
    </xf>
    <xf numFmtId="0" fontId="3" fillId="4" borderId="15" xfId="0" applyFont="1" applyFill="1" applyBorder="1" applyAlignment="1" applyProtection="1">
      <alignment horizontal="center" vertical="center"/>
    </xf>
    <xf numFmtId="0" fontId="3" fillId="4" borderId="14" xfId="0" applyFont="1" applyFill="1" applyBorder="1" applyAlignment="1" applyProtection="1">
      <alignment horizontal="center" vertical="center"/>
    </xf>
    <xf numFmtId="0" fontId="3" fillId="4" borderId="19" xfId="0" applyFont="1" applyFill="1" applyBorder="1" applyAlignment="1" applyProtection="1">
      <alignment horizontal="center" vertical="center"/>
    </xf>
    <xf numFmtId="0" fontId="3" fillId="4" borderId="4" xfId="0" applyFont="1" applyFill="1" applyBorder="1" applyAlignment="1" applyProtection="1">
      <alignment horizontal="center" vertical="center"/>
    </xf>
    <xf numFmtId="0" fontId="3" fillId="4" borderId="24" xfId="0" applyFont="1" applyFill="1" applyBorder="1" applyAlignment="1" applyProtection="1">
      <alignment horizontal="center" vertical="center"/>
    </xf>
    <xf numFmtId="0" fontId="3" fillId="4" borderId="23" xfId="0" applyFont="1" applyFill="1" applyBorder="1" applyAlignment="1" applyProtection="1">
      <alignment horizontal="center" vertical="center"/>
    </xf>
    <xf numFmtId="0" fontId="3" fillId="4" borderId="36" xfId="0" applyFont="1" applyFill="1" applyBorder="1" applyAlignment="1" applyProtection="1">
      <alignment horizontal="center" vertical="center"/>
    </xf>
    <xf numFmtId="166" fontId="17" fillId="4" borderId="0" xfId="0" applyNumberFormat="1" applyFont="1" applyFill="1" applyBorder="1" applyAlignment="1" applyProtection="1">
      <alignment horizontal="center" vertical="center" wrapText="1"/>
      <protection locked="0"/>
    </xf>
    <xf numFmtId="166" fontId="17" fillId="4" borderId="6" xfId="0" applyNumberFormat="1" applyFont="1" applyFill="1" applyBorder="1" applyAlignment="1" applyProtection="1">
      <alignment horizontal="center" vertical="center" wrapText="1"/>
      <protection locked="0"/>
    </xf>
    <xf numFmtId="2" fontId="17" fillId="4" borderId="0" xfId="0" applyNumberFormat="1" applyFont="1" applyFill="1" applyBorder="1" applyAlignment="1" applyProtection="1">
      <alignment horizontal="center" vertical="center" wrapText="1"/>
    </xf>
    <xf numFmtId="2" fontId="17" fillId="4" borderId="18" xfId="0" applyNumberFormat="1" applyFont="1" applyFill="1" applyBorder="1" applyAlignment="1" applyProtection="1">
      <alignment horizontal="center" vertical="center" wrapText="1"/>
    </xf>
    <xf numFmtId="0" fontId="17" fillId="4" borderId="0" xfId="0" applyFont="1" applyFill="1" applyAlignment="1" applyProtection="1">
      <alignment horizontal="center" vertical="center"/>
      <protection locked="0"/>
    </xf>
    <xf numFmtId="0" fontId="3" fillId="4" borderId="0" xfId="0" applyFont="1" applyFill="1" applyBorder="1" applyAlignment="1" applyProtection="1">
      <alignment horizontal="center" vertical="center"/>
    </xf>
    <xf numFmtId="0" fontId="8" fillId="4" borderId="7" xfId="0" applyFont="1" applyFill="1" applyBorder="1" applyAlignment="1" applyProtection="1">
      <alignment horizontal="center" vertical="center"/>
    </xf>
    <xf numFmtId="0" fontId="8" fillId="4" borderId="8" xfId="0" applyFont="1" applyFill="1" applyBorder="1" applyAlignment="1" applyProtection="1">
      <alignment horizontal="center" vertical="center"/>
    </xf>
    <xf numFmtId="0" fontId="8" fillId="4" borderId="9" xfId="0" applyFont="1" applyFill="1" applyBorder="1" applyAlignment="1" applyProtection="1">
      <alignment horizontal="center" vertical="center"/>
    </xf>
    <xf numFmtId="0" fontId="17" fillId="4" borderId="18" xfId="0" applyFont="1" applyFill="1" applyBorder="1" applyAlignment="1" applyProtection="1">
      <alignment horizontal="center" vertical="center" wrapText="1"/>
      <protection locked="0"/>
    </xf>
    <xf numFmtId="0" fontId="0" fillId="4" borderId="34" xfId="0" applyFill="1" applyBorder="1" applyAlignment="1" applyProtection="1">
      <alignment horizontal="center"/>
    </xf>
    <xf numFmtId="0" fontId="16" fillId="4" borderId="0" xfId="0" applyFont="1" applyFill="1" applyBorder="1" applyAlignment="1" applyProtection="1">
      <alignment horizontal="center" vertical="center" wrapText="1"/>
    </xf>
    <xf numFmtId="165" fontId="6" fillId="16" borderId="17" xfId="0" applyNumberFormat="1" applyFont="1" applyFill="1" applyBorder="1" applyAlignment="1" applyProtection="1">
      <alignment horizontal="center" vertical="center"/>
      <protection locked="0"/>
    </xf>
    <xf numFmtId="165" fontId="6" fillId="16" borderId="22" xfId="0" applyNumberFormat="1" applyFont="1" applyFill="1" applyBorder="1" applyAlignment="1" applyProtection="1">
      <alignment horizontal="center" vertical="center"/>
      <protection locked="0"/>
    </xf>
    <xf numFmtId="0" fontId="3" fillId="4" borderId="2" xfId="0" applyFont="1" applyFill="1" applyBorder="1" applyAlignment="1" applyProtection="1">
      <alignment horizontal="right" vertical="center" wrapText="1"/>
    </xf>
    <xf numFmtId="0" fontId="3" fillId="4" borderId="17" xfId="0" applyFont="1" applyFill="1" applyBorder="1" applyAlignment="1" applyProtection="1">
      <alignment horizontal="right" vertical="center" wrapText="1"/>
    </xf>
    <xf numFmtId="0" fontId="3" fillId="16" borderId="17" xfId="0" applyFont="1" applyFill="1" applyBorder="1" applyAlignment="1" applyProtection="1">
      <alignment horizontal="center" vertical="center" wrapText="1"/>
      <protection locked="0"/>
    </xf>
    <xf numFmtId="0" fontId="3" fillId="16" borderId="3" xfId="0" applyFont="1" applyFill="1" applyBorder="1" applyAlignment="1" applyProtection="1">
      <alignment horizontal="center" vertical="center" wrapText="1"/>
      <protection locked="0"/>
    </xf>
    <xf numFmtId="3" fontId="3" fillId="4" borderId="17" xfId="0" applyNumberFormat="1" applyFont="1" applyFill="1" applyBorder="1" applyAlignment="1" applyProtection="1">
      <alignment horizontal="right" vertical="center"/>
    </xf>
    <xf numFmtId="165" fontId="3" fillId="4" borderId="2" xfId="0" applyNumberFormat="1" applyFont="1" applyFill="1" applyBorder="1" applyAlignment="1" applyProtection="1">
      <alignment horizontal="right" vertical="center" wrapText="1"/>
    </xf>
    <xf numFmtId="165" fontId="3" fillId="4" borderId="17" xfId="0" applyNumberFormat="1" applyFont="1" applyFill="1" applyBorder="1" applyAlignment="1" applyProtection="1">
      <alignment horizontal="right" vertical="center" wrapText="1"/>
    </xf>
    <xf numFmtId="3" fontId="6" fillId="16" borderId="17" xfId="0" applyNumberFormat="1" applyFont="1" applyFill="1" applyBorder="1" applyAlignment="1" applyProtection="1">
      <alignment horizontal="center" vertical="center"/>
      <protection locked="0"/>
    </xf>
    <xf numFmtId="3" fontId="6" fillId="16" borderId="3" xfId="0" applyNumberFormat="1" applyFont="1" applyFill="1" applyBorder="1" applyAlignment="1" applyProtection="1">
      <alignment horizontal="center" vertical="center"/>
      <protection locked="0"/>
    </xf>
    <xf numFmtId="0" fontId="12" fillId="16" borderId="25" xfId="0" applyFont="1" applyFill="1" applyBorder="1" applyAlignment="1" applyProtection="1">
      <alignment horizontal="center" vertical="center" wrapText="1"/>
      <protection locked="0"/>
    </xf>
    <xf numFmtId="0" fontId="12" fillId="16" borderId="1" xfId="0" applyFont="1" applyFill="1" applyBorder="1" applyAlignment="1" applyProtection="1">
      <alignment horizontal="center" vertical="center" wrapText="1"/>
      <protection locked="0"/>
    </xf>
    <xf numFmtId="0" fontId="19" fillId="6" borderId="17" xfId="0" applyFont="1" applyFill="1" applyBorder="1" applyAlignment="1" applyProtection="1">
      <alignment horizontal="left" vertical="center" wrapText="1"/>
    </xf>
    <xf numFmtId="165" fontId="19" fillId="4" borderId="2" xfId="0" applyNumberFormat="1" applyFont="1" applyFill="1" applyBorder="1" applyAlignment="1" applyProtection="1">
      <alignment horizontal="center" vertical="center"/>
    </xf>
    <xf numFmtId="165" fontId="19" fillId="4" borderId="17" xfId="0" applyNumberFormat="1" applyFont="1" applyFill="1" applyBorder="1" applyAlignment="1" applyProtection="1">
      <alignment horizontal="center" vertical="center"/>
    </xf>
    <xf numFmtId="0" fontId="19" fillId="4" borderId="17" xfId="0" applyFont="1" applyFill="1" applyBorder="1" applyAlignment="1" applyProtection="1">
      <alignment horizontal="center" vertical="center"/>
    </xf>
    <xf numFmtId="0" fontId="19" fillId="4" borderId="3" xfId="0" applyFont="1" applyFill="1" applyBorder="1" applyAlignment="1" applyProtection="1">
      <alignment horizontal="center" vertical="center"/>
    </xf>
    <xf numFmtId="3" fontId="18" fillId="4" borderId="17" xfId="0" applyNumberFormat="1" applyFont="1" applyFill="1" applyBorder="1" applyAlignment="1" applyProtection="1">
      <alignment horizontal="center" vertical="center"/>
    </xf>
    <xf numFmtId="3" fontId="18" fillId="4" borderId="3" xfId="0" applyNumberFormat="1" applyFont="1" applyFill="1" applyBorder="1" applyAlignment="1" applyProtection="1">
      <alignment horizontal="center" vertical="center"/>
    </xf>
    <xf numFmtId="165" fontId="18" fillId="16" borderId="2" xfId="0" applyNumberFormat="1" applyFont="1" applyFill="1" applyBorder="1" applyAlignment="1" applyProtection="1">
      <alignment horizontal="center" vertical="center" wrapText="1"/>
      <protection locked="0"/>
    </xf>
    <xf numFmtId="165" fontId="18" fillId="16" borderId="17" xfId="0" applyNumberFormat="1" applyFont="1" applyFill="1" applyBorder="1" applyAlignment="1" applyProtection="1">
      <alignment horizontal="center" vertical="center" wrapText="1"/>
      <protection locked="0"/>
    </xf>
    <xf numFmtId="165" fontId="18" fillId="16" borderId="3" xfId="0" applyNumberFormat="1" applyFont="1" applyFill="1" applyBorder="1" applyAlignment="1" applyProtection="1">
      <alignment horizontal="center" vertical="center" wrapText="1"/>
      <protection locked="0"/>
    </xf>
    <xf numFmtId="165" fontId="18" fillId="4" borderId="2" xfId="0" applyNumberFormat="1" applyFont="1" applyFill="1" applyBorder="1" applyAlignment="1" applyProtection="1">
      <alignment horizontal="center" vertical="center" wrapText="1"/>
    </xf>
    <xf numFmtId="165" fontId="18" fillId="4" borderId="17" xfId="0" applyNumberFormat="1" applyFont="1" applyFill="1" applyBorder="1" applyAlignment="1" applyProtection="1">
      <alignment horizontal="center" vertical="center" wrapText="1"/>
    </xf>
    <xf numFmtId="165" fontId="18" fillId="4" borderId="3" xfId="0" applyNumberFormat="1" applyFont="1" applyFill="1" applyBorder="1" applyAlignment="1" applyProtection="1">
      <alignment horizontal="center" vertical="center" wrapText="1"/>
    </xf>
    <xf numFmtId="165" fontId="18" fillId="4" borderId="22" xfId="0" applyNumberFormat="1" applyFont="1" applyFill="1" applyBorder="1" applyAlignment="1" applyProtection="1">
      <alignment horizontal="center" vertical="center" wrapText="1"/>
    </xf>
    <xf numFmtId="0" fontId="31" fillId="0" borderId="41" xfId="0" applyFont="1" applyBorder="1" applyAlignment="1">
      <alignment horizontal="right" vertical="center"/>
    </xf>
    <xf numFmtId="165" fontId="16" fillId="0" borderId="17" xfId="0" applyNumberFormat="1" applyFont="1" applyBorder="1" applyAlignment="1" applyProtection="1">
      <alignment horizontal="center" vertical="center"/>
    </xf>
    <xf numFmtId="165" fontId="16" fillId="0" borderId="3" xfId="0" applyNumberFormat="1" applyFont="1" applyBorder="1" applyAlignment="1" applyProtection="1">
      <alignment horizontal="center" vertical="center"/>
    </xf>
    <xf numFmtId="0" fontId="0" fillId="4" borderId="34" xfId="0" applyFill="1" applyBorder="1" applyAlignment="1">
      <alignment horizontal="center"/>
    </xf>
    <xf numFmtId="14" fontId="44" fillId="4" borderId="17" xfId="4" applyNumberFormat="1" applyFont="1" applyFill="1" applyBorder="1" applyAlignment="1" applyProtection="1">
      <alignment horizontal="center" vertical="center"/>
      <protection locked="0"/>
    </xf>
    <xf numFmtId="14" fontId="44" fillId="4" borderId="22" xfId="4" applyNumberFormat="1" applyFont="1" applyFill="1" applyBorder="1" applyAlignment="1" applyProtection="1">
      <alignment horizontal="center" vertical="center"/>
      <protection locked="0"/>
    </xf>
    <xf numFmtId="14" fontId="45" fillId="4" borderId="17" xfId="4" applyNumberFormat="1" applyFont="1" applyFill="1" applyBorder="1" applyAlignment="1">
      <alignment horizontal="center" vertical="center" wrapText="1"/>
    </xf>
    <xf numFmtId="0" fontId="31" fillId="4" borderId="16" xfId="0" applyFont="1" applyFill="1" applyBorder="1" applyAlignment="1">
      <alignment horizontal="right" vertical="center" wrapText="1"/>
    </xf>
    <xf numFmtId="0" fontId="31" fillId="4" borderId="17" xfId="0" applyFont="1" applyFill="1" applyBorder="1" applyAlignment="1">
      <alignment horizontal="right" vertical="center" wrapText="1"/>
    </xf>
    <xf numFmtId="0" fontId="16" fillId="0" borderId="16" xfId="0" applyFont="1" applyBorder="1" applyAlignment="1" applyProtection="1">
      <alignment horizontal="center" vertical="center"/>
      <protection locked="0"/>
    </xf>
    <xf numFmtId="0" fontId="16" fillId="0" borderId="3" xfId="0" applyFont="1" applyBorder="1" applyAlignment="1" applyProtection="1">
      <alignment horizontal="center" vertical="center"/>
      <protection locked="0"/>
    </xf>
    <xf numFmtId="0" fontId="16" fillId="0" borderId="2" xfId="0" applyFont="1" applyBorder="1" applyAlignment="1" applyProtection="1">
      <alignment horizontal="left" vertical="center"/>
      <protection locked="0"/>
    </xf>
    <xf numFmtId="0" fontId="16" fillId="0" borderId="17" xfId="0" applyFont="1" applyBorder="1" applyAlignment="1" applyProtection="1">
      <alignment horizontal="left" vertical="center"/>
      <protection locked="0"/>
    </xf>
    <xf numFmtId="0" fontId="16" fillId="0" borderId="3" xfId="0" applyFont="1" applyBorder="1" applyAlignment="1" applyProtection="1">
      <alignment horizontal="left" vertical="center"/>
      <protection locked="0"/>
    </xf>
    <xf numFmtId="3" fontId="16" fillId="0" borderId="17" xfId="0" applyNumberFormat="1" applyFont="1" applyBorder="1" applyAlignment="1" applyProtection="1">
      <alignment horizontal="center" vertical="center"/>
      <protection locked="0"/>
    </xf>
    <xf numFmtId="3" fontId="16" fillId="0" borderId="3" xfId="0" applyNumberFormat="1" applyFont="1" applyBorder="1" applyAlignment="1" applyProtection="1">
      <alignment horizontal="center" vertical="center"/>
      <protection locked="0"/>
    </xf>
    <xf numFmtId="165" fontId="16" fillId="0" borderId="17" xfId="0" applyNumberFormat="1" applyFont="1" applyBorder="1" applyAlignment="1" applyProtection="1">
      <alignment horizontal="center" vertical="center"/>
      <protection locked="0"/>
    </xf>
    <xf numFmtId="165" fontId="16" fillId="0" borderId="3" xfId="0" applyNumberFormat="1" applyFont="1" applyBorder="1" applyAlignment="1" applyProtection="1">
      <alignment horizontal="center" vertical="center"/>
      <protection locked="0"/>
    </xf>
    <xf numFmtId="165" fontId="16" fillId="0" borderId="22" xfId="0" applyNumberFormat="1" applyFont="1" applyBorder="1" applyAlignment="1" applyProtection="1">
      <alignment horizontal="center" vertical="center"/>
    </xf>
    <xf numFmtId="0" fontId="44" fillId="4" borderId="17" xfId="4" applyFont="1" applyFill="1" applyBorder="1" applyAlignment="1" applyProtection="1">
      <alignment horizontal="center" vertical="center"/>
      <protection locked="0"/>
    </xf>
    <xf numFmtId="0" fontId="44" fillId="4" borderId="3" xfId="4" applyFont="1" applyFill="1" applyBorder="1" applyAlignment="1" applyProtection="1">
      <alignment horizontal="center" vertical="center"/>
      <protection locked="0"/>
    </xf>
    <xf numFmtId="0" fontId="45" fillId="4" borderId="17" xfId="4" applyFont="1" applyFill="1" applyBorder="1" applyAlignment="1">
      <alignment horizontal="right" vertical="center" wrapText="1"/>
    </xf>
    <xf numFmtId="0" fontId="44" fillId="4" borderId="17" xfId="4" applyFont="1" applyFill="1" applyBorder="1" applyAlignment="1" applyProtection="1">
      <alignment horizontal="center" vertical="center" wrapText="1"/>
      <protection locked="0"/>
    </xf>
    <xf numFmtId="0" fontId="44" fillId="4" borderId="3" xfId="4" applyFont="1" applyFill="1" applyBorder="1" applyAlignment="1" applyProtection="1">
      <alignment horizontal="center" vertical="center" wrapText="1"/>
      <protection locked="0"/>
    </xf>
    <xf numFmtId="0" fontId="16" fillId="0" borderId="52" xfId="0" applyFont="1" applyBorder="1" applyAlignment="1" applyProtection="1">
      <alignment horizontal="center" vertical="center"/>
      <protection locked="0"/>
    </xf>
    <xf numFmtId="0" fontId="16" fillId="0" borderId="47" xfId="0" applyFont="1" applyBorder="1" applyAlignment="1" applyProtection="1">
      <alignment horizontal="center" vertical="center"/>
      <protection locked="0"/>
    </xf>
    <xf numFmtId="0" fontId="31" fillId="0" borderId="40" xfId="0" applyFont="1" applyBorder="1" applyAlignment="1">
      <alignment horizontal="right" vertical="center"/>
    </xf>
    <xf numFmtId="165" fontId="31" fillId="0" borderId="41" xfId="0" applyNumberFormat="1" applyFont="1" applyBorder="1" applyAlignment="1">
      <alignment horizontal="center" vertical="center"/>
    </xf>
    <xf numFmtId="0" fontId="3" fillId="4" borderId="0" xfId="0" applyFont="1" applyFill="1" applyAlignment="1">
      <alignment horizontal="left" wrapText="1"/>
    </xf>
    <xf numFmtId="0" fontId="3" fillId="4" borderId="0" xfId="0" applyFont="1" applyFill="1" applyAlignment="1">
      <alignment horizontal="left"/>
    </xf>
    <xf numFmtId="0" fontId="12" fillId="4" borderId="0" xfId="1" applyFont="1" applyFill="1" applyAlignment="1">
      <alignment horizontal="center"/>
    </xf>
    <xf numFmtId="0" fontId="3" fillId="4" borderId="17" xfId="0" applyFont="1" applyFill="1" applyBorder="1" applyAlignment="1" applyProtection="1">
      <alignment horizontal="center" vertical="center"/>
    </xf>
    <xf numFmtId="0" fontId="3" fillId="4" borderId="3" xfId="0" applyFont="1" applyFill="1" applyBorder="1" applyAlignment="1" applyProtection="1">
      <alignment horizontal="center" vertical="center"/>
    </xf>
    <xf numFmtId="0" fontId="3" fillId="16" borderId="17" xfId="0" applyFont="1" applyFill="1" applyBorder="1" applyAlignment="1" applyProtection="1">
      <alignment horizontal="center" vertical="center"/>
      <protection locked="0"/>
    </xf>
    <xf numFmtId="0" fontId="3" fillId="16" borderId="3" xfId="0" applyFont="1" applyFill="1" applyBorder="1" applyAlignment="1" applyProtection="1">
      <alignment horizontal="center" vertical="center"/>
      <protection locked="0"/>
    </xf>
    <xf numFmtId="0" fontId="3" fillId="4" borderId="2" xfId="0" applyFont="1" applyFill="1" applyBorder="1" applyAlignment="1" applyProtection="1">
      <alignment horizontal="center" vertical="center"/>
    </xf>
    <xf numFmtId="0" fontId="3" fillId="4" borderId="17" xfId="0" applyFont="1" applyFill="1" applyBorder="1" applyAlignment="1" applyProtection="1">
      <alignment horizontal="right" vertical="center"/>
    </xf>
    <xf numFmtId="0" fontId="0" fillId="4" borderId="8" xfId="0" applyFill="1" applyBorder="1" applyAlignment="1" applyProtection="1">
      <alignment horizontal="center"/>
    </xf>
    <xf numFmtId="0" fontId="8" fillId="12" borderId="25" xfId="0" applyFont="1" applyFill="1" applyBorder="1" applyAlignment="1" applyProtection="1">
      <alignment horizontal="center" wrapText="1"/>
    </xf>
    <xf numFmtId="0" fontId="8" fillId="12" borderId="1" xfId="0" applyFont="1" applyFill="1" applyBorder="1" applyAlignment="1" applyProtection="1">
      <alignment horizontal="center" wrapText="1"/>
    </xf>
    <xf numFmtId="0" fontId="8" fillId="12" borderId="1" xfId="0" applyFont="1" applyFill="1" applyBorder="1" applyAlignment="1" applyProtection="1">
      <alignment horizontal="center"/>
    </xf>
    <xf numFmtId="0" fontId="8" fillId="12" borderId="26" xfId="0" applyFont="1" applyFill="1" applyBorder="1" applyAlignment="1" applyProtection="1">
      <alignment horizontal="center" wrapText="1"/>
    </xf>
    <xf numFmtId="3" fontId="3" fillId="16" borderId="17" xfId="0" applyNumberFormat="1" applyFont="1" applyFill="1" applyBorder="1" applyAlignment="1" applyProtection="1">
      <alignment horizontal="center" vertical="center" wrapText="1"/>
      <protection locked="0"/>
    </xf>
    <xf numFmtId="3" fontId="3" fillId="16" borderId="3" xfId="0" applyNumberFormat="1" applyFont="1" applyFill="1" applyBorder="1" applyAlignment="1" applyProtection="1">
      <alignment horizontal="center" vertical="center" wrapText="1"/>
      <protection locked="0"/>
    </xf>
    <xf numFmtId="1" fontId="3" fillId="4" borderId="2" xfId="0" applyNumberFormat="1" applyFont="1" applyFill="1" applyBorder="1" applyAlignment="1" applyProtection="1">
      <alignment horizontal="right" vertical="center"/>
    </xf>
    <xf numFmtId="1" fontId="3" fillId="4" borderId="17" xfId="0" applyNumberFormat="1" applyFont="1" applyFill="1" applyBorder="1" applyAlignment="1" applyProtection="1">
      <alignment horizontal="right" vertical="center"/>
    </xf>
    <xf numFmtId="1" fontId="3" fillId="4" borderId="3" xfId="0" applyNumberFormat="1" applyFont="1" applyFill="1" applyBorder="1" applyAlignment="1" applyProtection="1">
      <alignment horizontal="right" vertical="center"/>
    </xf>
    <xf numFmtId="1" fontId="3" fillId="4" borderId="2" xfId="0" applyNumberFormat="1" applyFont="1" applyFill="1" applyBorder="1" applyAlignment="1" applyProtection="1">
      <alignment horizontal="left" vertical="center"/>
    </xf>
    <xf numFmtId="1" fontId="3" fillId="4" borderId="3" xfId="0" applyNumberFormat="1" applyFont="1" applyFill="1" applyBorder="1" applyAlignment="1" applyProtection="1">
      <alignment horizontal="left" vertical="center"/>
    </xf>
    <xf numFmtId="165" fontId="3" fillId="4" borderId="2" xfId="0" applyNumberFormat="1" applyFont="1" applyFill="1" applyBorder="1" applyAlignment="1" applyProtection="1">
      <alignment horizontal="left" vertical="center"/>
    </xf>
    <xf numFmtId="165" fontId="3" fillId="4" borderId="17" xfId="0" applyNumberFormat="1" applyFont="1" applyFill="1" applyBorder="1" applyAlignment="1" applyProtection="1">
      <alignment horizontal="left" vertical="center"/>
    </xf>
    <xf numFmtId="165" fontId="3" fillId="4" borderId="3" xfId="0" applyNumberFormat="1" applyFont="1" applyFill="1" applyBorder="1" applyAlignment="1" applyProtection="1">
      <alignment horizontal="left" vertical="center"/>
    </xf>
    <xf numFmtId="165" fontId="3" fillId="4" borderId="22" xfId="0" applyNumberFormat="1" applyFont="1" applyFill="1" applyBorder="1" applyAlignment="1" applyProtection="1">
      <alignment horizontal="left" vertical="center"/>
    </xf>
    <xf numFmtId="0" fontId="12" fillId="16" borderId="23" xfId="0" applyFont="1" applyFill="1" applyBorder="1" applyAlignment="1" applyProtection="1">
      <alignment horizontal="center" vertical="center" wrapText="1"/>
      <protection locked="0"/>
    </xf>
    <xf numFmtId="0" fontId="12" fillId="16" borderId="36" xfId="0" applyFont="1" applyFill="1" applyBorder="1" applyAlignment="1" applyProtection="1">
      <alignment horizontal="center" vertical="center" wrapText="1"/>
      <protection locked="0"/>
    </xf>
    <xf numFmtId="0" fontId="12" fillId="16" borderId="5" xfId="0" applyFont="1" applyFill="1" applyBorder="1" applyAlignment="1" applyProtection="1">
      <alignment horizontal="center" vertical="center" wrapText="1"/>
      <protection locked="0"/>
    </xf>
    <xf numFmtId="0" fontId="12" fillId="16" borderId="18" xfId="0" applyFont="1" applyFill="1" applyBorder="1" applyAlignment="1" applyProtection="1">
      <alignment horizontal="center" vertical="center" wrapText="1"/>
      <protection locked="0"/>
    </xf>
    <xf numFmtId="0" fontId="12" fillId="16" borderId="14" xfId="0" applyFont="1" applyFill="1" applyBorder="1" applyAlignment="1" applyProtection="1">
      <alignment horizontal="center" vertical="center" wrapText="1"/>
      <protection locked="0"/>
    </xf>
    <xf numFmtId="0" fontId="12" fillId="16" borderId="19" xfId="0" applyFont="1" applyFill="1" applyBorder="1" applyAlignment="1" applyProtection="1">
      <alignment horizontal="center" vertical="center" wrapText="1"/>
      <protection locked="0"/>
    </xf>
    <xf numFmtId="3" fontId="18" fillId="16" borderId="17" xfId="0" applyNumberFormat="1" applyFont="1" applyFill="1" applyBorder="1" applyAlignment="1" applyProtection="1">
      <alignment horizontal="center" vertical="center"/>
      <protection locked="0"/>
    </xf>
    <xf numFmtId="3" fontId="18" fillId="16" borderId="3" xfId="0" applyNumberFormat="1" applyFont="1" applyFill="1" applyBorder="1" applyAlignment="1" applyProtection="1">
      <alignment horizontal="center" vertical="center"/>
      <protection locked="0"/>
    </xf>
    <xf numFmtId="0" fontId="3" fillId="4" borderId="2"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2" xfId="0" applyFont="1" applyFill="1" applyBorder="1" applyAlignment="1">
      <alignment horizontal="right" vertical="center"/>
    </xf>
    <xf numFmtId="0" fontId="3" fillId="4" borderId="17" xfId="0" applyFont="1" applyFill="1" applyBorder="1" applyAlignment="1">
      <alignment horizontal="right" vertical="center"/>
    </xf>
    <xf numFmtId="0" fontId="19" fillId="6" borderId="17" xfId="0" applyFont="1" applyFill="1" applyBorder="1" applyAlignment="1" applyProtection="1">
      <alignment horizontal="left" vertical="center" wrapText="1"/>
      <protection locked="0"/>
    </xf>
    <xf numFmtId="0" fontId="12" fillId="4" borderId="8" xfId="0" applyFont="1" applyFill="1" applyBorder="1" applyAlignment="1">
      <alignment horizontal="center" vertical="center" wrapText="1"/>
    </xf>
    <xf numFmtId="0" fontId="3" fillId="4" borderId="45" xfId="0" applyFont="1" applyFill="1" applyBorder="1" applyAlignment="1">
      <alignment horizontal="right" vertical="center"/>
    </xf>
    <xf numFmtId="0" fontId="3" fillId="4" borderId="46" xfId="0" applyFont="1" applyFill="1" applyBorder="1" applyAlignment="1">
      <alignment horizontal="right" vertical="center"/>
    </xf>
    <xf numFmtId="9" fontId="6" fillId="16" borderId="46" xfId="0" applyNumberFormat="1" applyFont="1" applyFill="1" applyBorder="1" applyAlignment="1" applyProtection="1">
      <alignment horizontal="center" vertical="center" wrapText="1"/>
      <protection locked="0"/>
    </xf>
    <xf numFmtId="9" fontId="6" fillId="16" borderId="47" xfId="0" applyNumberFormat="1" applyFont="1" applyFill="1" applyBorder="1" applyAlignment="1" applyProtection="1">
      <alignment horizontal="center" vertical="center" wrapText="1"/>
      <protection locked="0"/>
    </xf>
    <xf numFmtId="0" fontId="3" fillId="4" borderId="46" xfId="0" applyFont="1" applyFill="1" applyBorder="1" applyAlignment="1" applyProtection="1">
      <alignment horizontal="right" vertical="center"/>
    </xf>
    <xf numFmtId="9" fontId="6" fillId="16" borderId="46" xfId="0" applyNumberFormat="1" applyFont="1" applyFill="1" applyBorder="1" applyAlignment="1" applyProtection="1">
      <alignment horizontal="center" vertical="center"/>
      <protection locked="0"/>
    </xf>
    <xf numFmtId="9" fontId="6" fillId="16" borderId="47" xfId="0" applyNumberFormat="1" applyFont="1" applyFill="1" applyBorder="1" applyAlignment="1" applyProtection="1">
      <alignment horizontal="center" vertical="center"/>
      <protection locked="0"/>
    </xf>
    <xf numFmtId="165" fontId="3" fillId="4" borderId="46" xfId="0" applyNumberFormat="1" applyFont="1" applyFill="1" applyBorder="1" applyAlignment="1" applyProtection="1">
      <alignment horizontal="right" vertical="center" wrapText="1"/>
    </xf>
    <xf numFmtId="165" fontId="3" fillId="4" borderId="45" xfId="0" applyNumberFormat="1" applyFont="1" applyFill="1" applyBorder="1" applyAlignment="1" applyProtection="1">
      <alignment horizontal="right" vertical="center" wrapText="1"/>
    </xf>
    <xf numFmtId="165" fontId="6" fillId="16" borderId="46" xfId="0" applyNumberFormat="1" applyFont="1" applyFill="1" applyBorder="1" applyAlignment="1" applyProtection="1">
      <alignment horizontal="center" vertical="center"/>
      <protection locked="0"/>
    </xf>
    <xf numFmtId="165" fontId="6" fillId="16" borderId="48" xfId="0" applyNumberFormat="1" applyFont="1" applyFill="1" applyBorder="1" applyAlignment="1" applyProtection="1">
      <alignment horizontal="center" vertical="center"/>
      <protection locked="0"/>
    </xf>
    <xf numFmtId="0" fontId="12" fillId="16" borderId="43" xfId="0" applyFont="1" applyFill="1" applyBorder="1" applyAlignment="1" applyProtection="1">
      <alignment horizontal="center" vertical="center" wrapText="1"/>
      <protection locked="0"/>
    </xf>
    <xf numFmtId="0" fontId="12" fillId="16" borderId="44" xfId="0" applyFont="1" applyFill="1" applyBorder="1" applyAlignment="1" applyProtection="1">
      <alignment horizontal="center" vertical="center" wrapText="1"/>
      <protection locked="0"/>
    </xf>
    <xf numFmtId="0" fontId="43" fillId="11" borderId="49" xfId="0" applyFont="1" applyFill="1" applyBorder="1" applyAlignment="1">
      <alignment horizontal="right" vertical="center" wrapText="1"/>
    </xf>
    <xf numFmtId="0" fontId="43" fillId="11" borderId="50" xfId="0" applyFont="1" applyFill="1" applyBorder="1" applyAlignment="1">
      <alignment horizontal="right" vertical="center" wrapText="1"/>
    </xf>
    <xf numFmtId="165" fontId="22" fillId="11" borderId="50" xfId="0" applyNumberFormat="1" applyFont="1" applyFill="1" applyBorder="1" applyAlignment="1" applyProtection="1">
      <alignment horizontal="center" vertical="center"/>
    </xf>
    <xf numFmtId="165" fontId="22" fillId="11" borderId="50" xfId="0" applyNumberFormat="1" applyFont="1" applyFill="1" applyBorder="1" applyAlignment="1" applyProtection="1">
      <alignment horizontal="center" vertical="center" wrapText="1"/>
    </xf>
    <xf numFmtId="165" fontId="22" fillId="11" borderId="51" xfId="0" applyNumberFormat="1" applyFont="1" applyFill="1" applyBorder="1" applyAlignment="1" applyProtection="1">
      <alignment horizontal="center" vertical="center" wrapText="1"/>
    </xf>
    <xf numFmtId="165" fontId="3" fillId="4" borderId="2" xfId="0" applyNumberFormat="1" applyFont="1" applyFill="1" applyBorder="1" applyAlignment="1" applyProtection="1">
      <alignment horizontal="right" vertical="center"/>
    </xf>
    <xf numFmtId="165" fontId="3" fillId="4" borderId="17" xfId="0" applyNumberFormat="1" applyFont="1" applyFill="1" applyBorder="1" applyAlignment="1" applyProtection="1">
      <alignment horizontal="right" vertical="center"/>
    </xf>
    <xf numFmtId="165" fontId="6" fillId="16" borderId="3" xfId="0" applyNumberFormat="1" applyFont="1" applyFill="1" applyBorder="1" applyAlignment="1" applyProtection="1">
      <alignment horizontal="center" vertical="center"/>
      <protection locked="0"/>
    </xf>
    <xf numFmtId="0" fontId="6" fillId="16" borderId="17" xfId="0" applyNumberFormat="1" applyFont="1" applyFill="1" applyBorder="1" applyAlignment="1" applyProtection="1">
      <alignment horizontal="center" vertical="center"/>
      <protection locked="0"/>
    </xf>
    <xf numFmtId="0" fontId="6" fillId="16" borderId="22" xfId="0" applyNumberFormat="1" applyFont="1" applyFill="1" applyBorder="1" applyAlignment="1" applyProtection="1">
      <alignment horizontal="center" vertical="center"/>
      <protection locked="0"/>
    </xf>
    <xf numFmtId="0" fontId="6" fillId="16" borderId="17" xfId="0" applyFont="1" applyFill="1" applyBorder="1" applyAlignment="1" applyProtection="1">
      <alignment horizontal="center" vertical="center" wrapText="1"/>
      <protection locked="0"/>
    </xf>
    <xf numFmtId="0" fontId="6" fillId="16" borderId="3" xfId="0" applyFont="1" applyFill="1" applyBorder="1" applyAlignment="1" applyProtection="1">
      <alignment horizontal="center" vertical="center" wrapText="1"/>
      <protection locked="0"/>
    </xf>
    <xf numFmtId="0" fontId="3" fillId="4" borderId="2" xfId="0" applyFont="1" applyFill="1" applyBorder="1" applyAlignment="1" applyProtection="1">
      <alignment horizontal="center" vertical="center" wrapText="1"/>
    </xf>
    <xf numFmtId="0" fontId="3" fillId="4" borderId="17" xfId="0" applyFont="1" applyFill="1" applyBorder="1" applyAlignment="1" applyProtection="1">
      <alignment horizontal="center" vertical="center" wrapText="1"/>
    </xf>
    <xf numFmtId="3" fontId="3" fillId="4" borderId="17" xfId="0" applyNumberFormat="1" applyFont="1" applyFill="1" applyBorder="1" applyAlignment="1" applyProtection="1">
      <alignment horizontal="center" vertical="center"/>
    </xf>
    <xf numFmtId="165" fontId="3" fillId="4" borderId="17" xfId="0" applyNumberFormat="1" applyFont="1" applyFill="1" applyBorder="1" applyAlignment="1" applyProtection="1">
      <alignment horizontal="center" vertical="center"/>
    </xf>
    <xf numFmtId="0" fontId="6" fillId="16" borderId="3" xfId="0" applyNumberFormat="1" applyFont="1" applyFill="1" applyBorder="1" applyAlignment="1" applyProtection="1">
      <alignment horizontal="center" vertical="center"/>
      <protection locked="0"/>
    </xf>
    <xf numFmtId="0" fontId="3" fillId="4" borderId="2" xfId="0" applyFont="1" applyFill="1" applyBorder="1" applyAlignment="1" applyProtection="1">
      <alignment horizontal="right" vertical="center"/>
    </xf>
    <xf numFmtId="2" fontId="6" fillId="16" borderId="17" xfId="0" applyNumberFormat="1" applyFont="1" applyFill="1" applyBorder="1" applyAlignment="1" applyProtection="1">
      <alignment horizontal="center" vertical="center"/>
      <protection locked="0"/>
    </xf>
    <xf numFmtId="2" fontId="6" fillId="16" borderId="22" xfId="0" applyNumberFormat="1" applyFont="1" applyFill="1" applyBorder="1" applyAlignment="1" applyProtection="1">
      <alignment horizontal="center" vertical="center"/>
      <protection locked="0"/>
    </xf>
    <xf numFmtId="3" fontId="6" fillId="16" borderId="22" xfId="0" applyNumberFormat="1" applyFont="1" applyFill="1" applyBorder="1" applyAlignment="1" applyProtection="1">
      <alignment horizontal="center" vertical="center"/>
      <protection locked="0"/>
    </xf>
    <xf numFmtId="3" fontId="6" fillId="16" borderId="10" xfId="0" applyNumberFormat="1" applyFont="1" applyFill="1" applyBorder="1" applyAlignment="1" applyProtection="1">
      <alignment horizontal="center" vertical="center"/>
      <protection locked="0"/>
    </xf>
    <xf numFmtId="3" fontId="6" fillId="16" borderId="19" xfId="0" applyNumberFormat="1" applyFont="1" applyFill="1" applyBorder="1" applyAlignment="1" applyProtection="1">
      <alignment horizontal="center" vertical="center"/>
      <protection locked="0"/>
    </xf>
    <xf numFmtId="165" fontId="3" fillId="4" borderId="35" xfId="0" applyNumberFormat="1" applyFont="1" applyFill="1" applyBorder="1" applyAlignment="1" applyProtection="1">
      <alignment horizontal="right" vertical="center" wrapText="1"/>
    </xf>
    <xf numFmtId="165" fontId="3" fillId="4" borderId="10" xfId="0" applyNumberFormat="1" applyFont="1" applyFill="1" applyBorder="1" applyAlignment="1" applyProtection="1">
      <alignment horizontal="right" vertical="center" wrapText="1"/>
    </xf>
    <xf numFmtId="0" fontId="12" fillId="16" borderId="10" xfId="0" applyFont="1" applyFill="1" applyBorder="1" applyAlignment="1" applyProtection="1">
      <alignment horizontal="center" vertical="center" wrapText="1"/>
      <protection locked="0"/>
    </xf>
    <xf numFmtId="2" fontId="6" fillId="16" borderId="3" xfId="0" applyNumberFormat="1" applyFont="1" applyFill="1" applyBorder="1" applyAlignment="1" applyProtection="1">
      <alignment horizontal="center" vertical="center"/>
      <protection locked="0"/>
    </xf>
    <xf numFmtId="1" fontId="6" fillId="16" borderId="17" xfId="0" applyNumberFormat="1" applyFont="1" applyFill="1" applyBorder="1" applyAlignment="1" applyProtection="1">
      <alignment horizontal="center" vertical="center" wrapText="1"/>
      <protection locked="0"/>
    </xf>
    <xf numFmtId="1" fontId="6" fillId="16" borderId="3" xfId="0" applyNumberFormat="1" applyFont="1" applyFill="1" applyBorder="1" applyAlignment="1" applyProtection="1">
      <alignment horizontal="center" vertical="center" wrapText="1"/>
      <protection locked="0"/>
    </xf>
    <xf numFmtId="165" fontId="12" fillId="4" borderId="2" xfId="0" applyNumberFormat="1" applyFont="1" applyFill="1" applyBorder="1" applyAlignment="1" applyProtection="1">
      <alignment horizontal="center" vertical="center"/>
    </xf>
    <xf numFmtId="165" fontId="12" fillId="4" borderId="17" xfId="0" applyNumberFormat="1" applyFont="1" applyFill="1" applyBorder="1" applyAlignment="1" applyProtection="1">
      <alignment horizontal="center" vertical="center"/>
    </xf>
    <xf numFmtId="0" fontId="3" fillId="4" borderId="46" xfId="0" applyNumberFormat="1" applyFont="1" applyFill="1" applyBorder="1" applyAlignment="1" applyProtection="1">
      <alignment horizontal="right" vertical="center"/>
    </xf>
    <xf numFmtId="3" fontId="6" fillId="16" borderId="46" xfId="0" applyNumberFormat="1" applyFont="1" applyFill="1" applyBorder="1" applyAlignment="1" applyProtection="1">
      <alignment horizontal="center" vertical="center"/>
      <protection locked="0"/>
    </xf>
    <xf numFmtId="3" fontId="6" fillId="16" borderId="47" xfId="0" applyNumberFormat="1" applyFont="1" applyFill="1" applyBorder="1" applyAlignment="1" applyProtection="1">
      <alignment horizontal="center" vertical="center"/>
      <protection locked="0"/>
    </xf>
    <xf numFmtId="0" fontId="3" fillId="4" borderId="45" xfId="0" applyNumberFormat="1" applyFont="1" applyFill="1" applyBorder="1" applyAlignment="1" applyProtection="1">
      <alignment horizontal="center" vertical="center"/>
    </xf>
    <xf numFmtId="0" fontId="3" fillId="4" borderId="46" xfId="0" applyNumberFormat="1" applyFont="1" applyFill="1" applyBorder="1" applyAlignment="1" applyProtection="1">
      <alignment horizontal="center" vertical="center"/>
    </xf>
    <xf numFmtId="3" fontId="6" fillId="16" borderId="46" xfId="0" applyNumberFormat="1" applyFont="1" applyFill="1" applyBorder="1" applyAlignment="1" applyProtection="1">
      <alignment horizontal="center" vertical="center" wrapText="1"/>
      <protection locked="0"/>
    </xf>
    <xf numFmtId="3" fontId="6" fillId="16" borderId="47" xfId="0" applyNumberFormat="1" applyFont="1" applyFill="1" applyBorder="1" applyAlignment="1" applyProtection="1">
      <alignment horizontal="center" vertical="center" wrapText="1"/>
      <protection locked="0"/>
    </xf>
    <xf numFmtId="0" fontId="3" fillId="4" borderId="46" xfId="0" applyNumberFormat="1" applyFont="1" applyFill="1" applyBorder="1" applyAlignment="1" applyProtection="1">
      <alignment horizontal="right" vertical="center" wrapText="1"/>
    </xf>
    <xf numFmtId="3" fontId="6" fillId="16" borderId="48" xfId="0" applyNumberFormat="1" applyFont="1" applyFill="1" applyBorder="1" applyAlignment="1" applyProtection="1">
      <alignment horizontal="center" vertical="center" wrapText="1"/>
      <protection locked="0"/>
    </xf>
    <xf numFmtId="0" fontId="8" fillId="12" borderId="33" xfId="0" applyFont="1" applyFill="1" applyBorder="1" applyAlignment="1" applyProtection="1">
      <alignment horizontal="center" wrapText="1"/>
    </xf>
    <xf numFmtId="0" fontId="8" fillId="12" borderId="38" xfId="0" applyFont="1" applyFill="1" applyBorder="1" applyAlignment="1" applyProtection="1">
      <alignment horizontal="center" wrapText="1"/>
    </xf>
    <xf numFmtId="0" fontId="0" fillId="4" borderId="34" xfId="0" applyFill="1" applyBorder="1" applyAlignment="1">
      <alignment horizontal="center" vertical="center"/>
    </xf>
    <xf numFmtId="0" fontId="8" fillId="12" borderId="2" xfId="0" applyFont="1" applyFill="1" applyBorder="1" applyAlignment="1" applyProtection="1">
      <alignment horizontal="center" wrapText="1"/>
    </xf>
    <xf numFmtId="0" fontId="8" fillId="12" borderId="17" xfId="0" applyFont="1" applyFill="1" applyBorder="1" applyAlignment="1" applyProtection="1">
      <alignment horizontal="center" wrapText="1"/>
    </xf>
    <xf numFmtId="0" fontId="8" fillId="12" borderId="22" xfId="0" applyFont="1" applyFill="1" applyBorder="1" applyAlignment="1" applyProtection="1">
      <alignment horizontal="center" wrapText="1"/>
    </xf>
    <xf numFmtId="0" fontId="8" fillId="12" borderId="17" xfId="0" applyFont="1" applyFill="1" applyBorder="1" applyAlignment="1" applyProtection="1">
      <alignment horizontal="center"/>
    </xf>
    <xf numFmtId="0" fontId="8" fillId="12" borderId="3" xfId="0" applyFont="1" applyFill="1" applyBorder="1" applyAlignment="1" applyProtection="1">
      <alignment horizontal="center"/>
    </xf>
    <xf numFmtId="0" fontId="8" fillId="12" borderId="2" xfId="0" applyFont="1" applyFill="1" applyBorder="1" applyAlignment="1" applyProtection="1">
      <alignment horizontal="center"/>
    </xf>
    <xf numFmtId="165" fontId="31" fillId="0" borderId="41" xfId="0" applyNumberFormat="1" applyFont="1" applyBorder="1" applyAlignment="1" applyProtection="1">
      <alignment horizontal="center" vertical="center"/>
      <protection locked="0"/>
    </xf>
    <xf numFmtId="165" fontId="31" fillId="0" borderId="42" xfId="0" applyNumberFormat="1" applyFont="1" applyBorder="1" applyAlignment="1">
      <alignment horizontal="center" vertical="center"/>
    </xf>
    <xf numFmtId="0" fontId="22" fillId="0" borderId="25" xfId="0" applyFont="1" applyBorder="1" applyAlignment="1">
      <alignment horizontal="right" vertical="center"/>
    </xf>
    <xf numFmtId="0" fontId="22" fillId="0" borderId="1" xfId="0" applyFont="1" applyBorder="1" applyAlignment="1">
      <alignment horizontal="right" vertical="center"/>
    </xf>
    <xf numFmtId="0" fontId="1" fillId="0" borderId="1" xfId="0" applyFont="1" applyBorder="1" applyAlignment="1" applyProtection="1">
      <alignment horizontal="center" vertical="center"/>
      <protection locked="0"/>
    </xf>
    <xf numFmtId="0" fontId="1" fillId="0" borderId="26" xfId="0" applyFont="1" applyBorder="1" applyAlignment="1" applyProtection="1">
      <alignment horizontal="center" vertical="center"/>
      <protection locked="0"/>
    </xf>
    <xf numFmtId="0" fontId="22" fillId="0" borderId="29" xfId="0" applyFont="1" applyBorder="1" applyAlignment="1">
      <alignment horizontal="right" vertical="center"/>
    </xf>
    <xf numFmtId="0" fontId="22" fillId="0" borderId="31" xfId="0" applyFont="1" applyBorder="1" applyAlignment="1">
      <alignment horizontal="right" vertical="center"/>
    </xf>
    <xf numFmtId="165" fontId="1" fillId="0" borderId="31" xfId="0" applyNumberFormat="1" applyFont="1" applyBorder="1" applyAlignment="1">
      <alignment horizontal="center" vertical="center"/>
    </xf>
    <xf numFmtId="0" fontId="1" fillId="0" borderId="31" xfId="0" applyFont="1" applyBorder="1" applyAlignment="1">
      <alignment horizontal="center" vertical="center"/>
    </xf>
    <xf numFmtId="0" fontId="1" fillId="0" borderId="30" xfId="0" applyFont="1" applyBorder="1" applyAlignment="1">
      <alignment horizontal="center" vertical="center"/>
    </xf>
    <xf numFmtId="0" fontId="31" fillId="0" borderId="1" xfId="0" applyFont="1" applyBorder="1" applyAlignment="1">
      <alignment horizontal="right" vertical="center"/>
    </xf>
    <xf numFmtId="165" fontId="31" fillId="0" borderId="74" xfId="0" applyNumberFormat="1" applyFont="1" applyBorder="1" applyAlignment="1">
      <alignment horizontal="center" vertical="center"/>
    </xf>
    <xf numFmtId="165" fontId="31" fillId="0" borderId="75" xfId="0" applyNumberFormat="1" applyFont="1" applyBorder="1" applyAlignment="1">
      <alignment horizontal="center" vertical="center"/>
    </xf>
    <xf numFmtId="165" fontId="1" fillId="0" borderId="1" xfId="0" applyNumberFormat="1" applyFont="1" applyBorder="1" applyAlignment="1">
      <alignment horizontal="center" vertical="center"/>
    </xf>
    <xf numFmtId="0" fontId="1" fillId="0" borderId="1" xfId="0" applyFont="1" applyBorder="1" applyAlignment="1">
      <alignment horizontal="center" vertical="center"/>
    </xf>
    <xf numFmtId="0" fontId="1" fillId="0" borderId="26" xfId="0" applyFont="1" applyBorder="1" applyAlignment="1">
      <alignment horizontal="center" vertical="center"/>
    </xf>
    <xf numFmtId="0" fontId="31" fillId="0" borderId="25" xfId="0" applyFont="1" applyBorder="1" applyAlignment="1">
      <alignment horizontal="right" vertical="center"/>
    </xf>
    <xf numFmtId="165" fontId="31" fillId="0" borderId="1" xfId="0" applyNumberFormat="1" applyFont="1" applyBorder="1" applyAlignment="1">
      <alignment horizontal="center" vertical="center"/>
    </xf>
    <xf numFmtId="165" fontId="31" fillId="0" borderId="1" xfId="0" applyNumberFormat="1" applyFont="1" applyBorder="1" applyAlignment="1" applyProtection="1">
      <alignment horizontal="center" vertical="center"/>
      <protection locked="0"/>
    </xf>
    <xf numFmtId="0" fontId="22" fillId="0" borderId="28" xfId="0" applyFont="1" applyBorder="1" applyAlignment="1" applyProtection="1">
      <alignment horizontal="center"/>
    </xf>
    <xf numFmtId="0" fontId="27" fillId="4" borderId="53" xfId="4" applyFont="1" applyFill="1" applyBorder="1" applyAlignment="1" applyProtection="1">
      <alignment horizontal="center" vertical="center"/>
      <protection locked="0"/>
    </xf>
    <xf numFmtId="0" fontId="27" fillId="4" borderId="34" xfId="4" applyFont="1" applyFill="1" applyBorder="1" applyAlignment="1" applyProtection="1">
      <alignment horizontal="center" vertical="center"/>
      <protection locked="0"/>
    </xf>
    <xf numFmtId="0" fontId="28" fillId="0" borderId="34" xfId="4" applyFont="1" applyBorder="1" applyAlignment="1" applyProtection="1">
      <alignment horizontal="center" vertical="center"/>
    </xf>
    <xf numFmtId="0" fontId="28" fillId="0" borderId="55" xfId="4" applyFont="1" applyBorder="1" applyAlignment="1" applyProtection="1">
      <alignment horizontal="center" vertical="center"/>
    </xf>
    <xf numFmtId="0" fontId="28" fillId="0" borderId="34" xfId="4" applyFont="1" applyBorder="1" applyAlignment="1" applyProtection="1">
      <alignment horizontal="center" vertical="center"/>
      <protection locked="0"/>
    </xf>
    <xf numFmtId="0" fontId="3" fillId="0" borderId="34" xfId="0" applyFont="1" applyBorder="1" applyAlignment="1" applyProtection="1">
      <alignment horizontal="left" vertical="center"/>
    </xf>
    <xf numFmtId="0" fontId="3" fillId="0" borderId="55" xfId="0" applyFont="1" applyBorder="1" applyAlignment="1" applyProtection="1">
      <alignment horizontal="left" vertical="center"/>
    </xf>
    <xf numFmtId="0" fontId="3" fillId="0" borderId="34" xfId="0" applyFont="1" applyBorder="1" applyAlignment="1" applyProtection="1">
      <alignment horizontal="center" vertical="center"/>
      <protection locked="0"/>
    </xf>
    <xf numFmtId="0" fontId="3" fillId="0" borderId="54" xfId="0" applyFont="1" applyBorder="1" applyAlignment="1" applyProtection="1">
      <alignment horizontal="left" vertical="center"/>
    </xf>
    <xf numFmtId="0" fontId="24" fillId="2" borderId="53" xfId="4" applyFont="1" applyFill="1" applyBorder="1" applyAlignment="1">
      <alignment horizontal="right" vertical="center"/>
    </xf>
    <xf numFmtId="0" fontId="24" fillId="2" borderId="34" xfId="4" applyFont="1" applyFill="1" applyBorder="1" applyAlignment="1">
      <alignment horizontal="right" vertical="center"/>
    </xf>
    <xf numFmtId="0" fontId="24" fillId="2" borderId="54" xfId="4" applyFont="1" applyFill="1" applyBorder="1" applyAlignment="1">
      <alignment horizontal="right" vertical="center"/>
    </xf>
    <xf numFmtId="0" fontId="24" fillId="4" borderId="39" xfId="4" applyFont="1" applyFill="1" applyBorder="1" applyAlignment="1">
      <alignment horizontal="right" vertical="center"/>
    </xf>
    <xf numFmtId="0" fontId="24" fillId="4" borderId="20" xfId="4" applyFont="1" applyFill="1" applyBorder="1" applyAlignment="1">
      <alignment horizontal="right" vertical="center"/>
    </xf>
    <xf numFmtId="0" fontId="21" fillId="3" borderId="27" xfId="4" applyFont="1" applyFill="1" applyBorder="1" applyAlignment="1">
      <alignment horizontal="left" vertical="top" wrapText="1"/>
    </xf>
    <xf numFmtId="0" fontId="21" fillId="3" borderId="28" xfId="4" applyFont="1" applyFill="1" applyBorder="1" applyAlignment="1">
      <alignment horizontal="left" vertical="top" wrapText="1"/>
    </xf>
    <xf numFmtId="0" fontId="21" fillId="3" borderId="32" xfId="4" applyFont="1" applyFill="1" applyBorder="1" applyAlignment="1">
      <alignment horizontal="left" vertical="top" wrapText="1"/>
    </xf>
    <xf numFmtId="14" fontId="29" fillId="0" borderId="5" xfId="4" applyNumberFormat="1" applyFont="1" applyBorder="1" applyAlignment="1">
      <alignment horizontal="left" vertical="center" wrapText="1"/>
    </xf>
    <xf numFmtId="14" fontId="29" fillId="0" borderId="0" xfId="4" applyNumberFormat="1" applyFont="1" applyBorder="1" applyAlignment="1">
      <alignment horizontal="left" vertical="center" wrapText="1"/>
    </xf>
    <xf numFmtId="14" fontId="29" fillId="0" borderId="6" xfId="4" applyNumberFormat="1" applyFont="1" applyBorder="1" applyAlignment="1">
      <alignment horizontal="left" vertical="center" wrapText="1"/>
    </xf>
    <xf numFmtId="0" fontId="0" fillId="0" borderId="8" xfId="0" applyBorder="1" applyAlignment="1" applyProtection="1">
      <alignment horizontal="center"/>
    </xf>
    <xf numFmtId="0" fontId="21" fillId="3" borderId="27" xfId="4" applyFont="1" applyFill="1" applyBorder="1" applyAlignment="1" applyProtection="1">
      <alignment horizontal="left" vertical="center" wrapText="1"/>
    </xf>
    <xf numFmtId="0" fontId="21" fillId="3" borderId="28" xfId="4" applyFont="1" applyFill="1" applyBorder="1" applyAlignment="1" applyProtection="1">
      <alignment horizontal="left" vertical="center" wrapText="1"/>
    </xf>
    <xf numFmtId="0" fontId="21" fillId="3" borderId="32" xfId="4" applyFont="1" applyFill="1" applyBorder="1" applyAlignment="1" applyProtection="1">
      <alignment horizontal="left" vertical="center" wrapText="1"/>
    </xf>
    <xf numFmtId="14" fontId="29" fillId="0" borderId="5" xfId="4" applyNumberFormat="1" applyFont="1" applyBorder="1" applyAlignment="1" applyProtection="1">
      <alignment horizontal="left" vertical="center" wrapText="1"/>
    </xf>
    <xf numFmtId="14" fontId="29" fillId="0" borderId="0" xfId="4" applyNumberFormat="1" applyFont="1" applyBorder="1" applyAlignment="1" applyProtection="1">
      <alignment horizontal="left" vertical="center" wrapText="1"/>
    </xf>
    <xf numFmtId="14" fontId="29" fillId="0" borderId="6" xfId="4" applyNumberFormat="1" applyFont="1" applyBorder="1" applyAlignment="1" applyProtection="1">
      <alignment horizontal="left" vertical="center" wrapText="1"/>
    </xf>
    <xf numFmtId="0" fontId="59" fillId="4" borderId="20" xfId="4" applyFont="1" applyFill="1" applyBorder="1" applyAlignment="1" applyProtection="1">
      <alignment horizontal="center" vertical="center"/>
      <protection locked="0"/>
    </xf>
    <xf numFmtId="0" fontId="59" fillId="4" borderId="21" xfId="4" applyFont="1" applyFill="1" applyBorder="1" applyAlignment="1" applyProtection="1">
      <alignment horizontal="center" vertical="center"/>
      <protection locked="0"/>
    </xf>
    <xf numFmtId="0" fontId="23" fillId="4" borderId="34" xfId="4" applyFont="1" applyFill="1" applyBorder="1" applyAlignment="1">
      <alignment horizontal="center" vertical="center"/>
    </xf>
    <xf numFmtId="0" fontId="0" fillId="4" borderId="0" xfId="0" applyFill="1" applyBorder="1" applyAlignment="1" applyProtection="1">
      <alignment horizontal="left"/>
    </xf>
    <xf numFmtId="0" fontId="1" fillId="4" borderId="0" xfId="0" applyFont="1" applyFill="1" applyBorder="1" applyAlignment="1" applyProtection="1">
      <alignment horizontal="center"/>
    </xf>
    <xf numFmtId="1" fontId="1" fillId="4" borderId="0" xfId="0" applyNumberFormat="1" applyFont="1" applyFill="1" applyBorder="1" applyAlignment="1" applyProtection="1">
      <alignment horizontal="center"/>
    </xf>
    <xf numFmtId="4" fontId="6" fillId="16" borderId="17" xfId="0" applyNumberFormat="1" applyFont="1" applyFill="1" applyBorder="1" applyAlignment="1" applyProtection="1">
      <alignment horizontal="center" vertical="center" wrapText="1"/>
      <protection locked="0"/>
    </xf>
    <xf numFmtId="4" fontId="6" fillId="16" borderId="3" xfId="0" applyNumberFormat="1" applyFont="1" applyFill="1" applyBorder="1" applyAlignment="1" applyProtection="1">
      <alignment horizontal="center" vertical="center" wrapText="1"/>
      <protection locked="0"/>
    </xf>
    <xf numFmtId="3" fontId="3" fillId="4" borderId="17" xfId="0" applyNumberFormat="1" applyFont="1" applyFill="1" applyBorder="1" applyAlignment="1" applyProtection="1">
      <alignment horizontal="right" vertical="center" wrapText="1"/>
    </xf>
    <xf numFmtId="4" fontId="6" fillId="16" borderId="22" xfId="0" applyNumberFormat="1" applyFont="1" applyFill="1" applyBorder="1" applyAlignment="1" applyProtection="1">
      <alignment horizontal="center" vertical="center" wrapText="1"/>
      <protection locked="0"/>
    </xf>
    <xf numFmtId="0" fontId="3" fillId="4" borderId="17" xfId="0" applyNumberFormat="1" applyFont="1" applyFill="1" applyBorder="1" applyAlignment="1" applyProtection="1">
      <alignment horizontal="right" vertical="center"/>
    </xf>
    <xf numFmtId="0" fontId="3" fillId="4" borderId="2" xfId="0" applyNumberFormat="1" applyFont="1" applyFill="1" applyBorder="1" applyAlignment="1" applyProtection="1">
      <alignment horizontal="center" vertical="center"/>
    </xf>
    <xf numFmtId="0" fontId="3" fillId="4" borderId="17" xfId="0" applyNumberFormat="1" applyFont="1" applyFill="1" applyBorder="1" applyAlignment="1" applyProtection="1">
      <alignment horizontal="center" vertical="center"/>
    </xf>
    <xf numFmtId="3" fontId="6" fillId="16" borderId="17" xfId="0" applyNumberFormat="1" applyFont="1" applyFill="1" applyBorder="1" applyAlignment="1" applyProtection="1">
      <alignment horizontal="center" vertical="center" wrapText="1"/>
      <protection locked="0"/>
    </xf>
    <xf numFmtId="3" fontId="6" fillId="16" borderId="3" xfId="0" applyNumberFormat="1" applyFont="1" applyFill="1" applyBorder="1" applyAlignment="1" applyProtection="1">
      <alignment horizontal="center" vertical="center" wrapText="1"/>
      <protection locked="0"/>
    </xf>
    <xf numFmtId="0" fontId="3" fillId="4" borderId="17" xfId="0" applyNumberFormat="1" applyFont="1" applyFill="1" applyBorder="1" applyAlignment="1" applyProtection="1">
      <alignment horizontal="right" vertical="center" wrapText="1"/>
    </xf>
    <xf numFmtId="3" fontId="6" fillId="16" borderId="22" xfId="0" applyNumberFormat="1" applyFont="1" applyFill="1" applyBorder="1" applyAlignment="1" applyProtection="1">
      <alignment horizontal="center" vertical="center" wrapText="1"/>
      <protection locked="0"/>
    </xf>
    <xf numFmtId="0" fontId="6" fillId="16" borderId="17" xfId="0" applyFont="1" applyFill="1" applyBorder="1" applyAlignment="1" applyProtection="1">
      <alignment horizontal="center" vertical="center"/>
      <protection locked="0"/>
    </xf>
    <xf numFmtId="0" fontId="6" fillId="16" borderId="3" xfId="0" applyFont="1" applyFill="1" applyBorder="1" applyAlignment="1" applyProtection="1">
      <alignment horizontal="center" vertical="center"/>
      <protection locked="0"/>
    </xf>
    <xf numFmtId="0" fontId="16" fillId="0" borderId="45" xfId="0" applyFont="1" applyBorder="1" applyAlignment="1" applyProtection="1">
      <alignment horizontal="left" vertical="center"/>
      <protection locked="0"/>
    </xf>
    <xf numFmtId="0" fontId="16" fillId="0" borderId="46" xfId="0" applyFont="1" applyBorder="1" applyAlignment="1" applyProtection="1">
      <alignment horizontal="left" vertical="center"/>
      <protection locked="0"/>
    </xf>
    <xf numFmtId="0" fontId="16" fillId="0" borderId="47" xfId="0" applyFont="1" applyBorder="1" applyAlignment="1" applyProtection="1">
      <alignment horizontal="left" vertical="center"/>
      <protection locked="0"/>
    </xf>
    <xf numFmtId="3" fontId="16" fillId="0" borderId="46" xfId="0" applyNumberFormat="1" applyFont="1" applyBorder="1" applyAlignment="1" applyProtection="1">
      <alignment horizontal="center" vertical="center"/>
      <protection locked="0"/>
    </xf>
    <xf numFmtId="3" fontId="16" fillId="0" borderId="47" xfId="0" applyNumberFormat="1" applyFont="1" applyBorder="1" applyAlignment="1" applyProtection="1">
      <alignment horizontal="center" vertical="center"/>
      <protection locked="0"/>
    </xf>
    <xf numFmtId="165" fontId="16" fillId="0" borderId="46" xfId="0" applyNumberFormat="1" applyFont="1" applyBorder="1" applyAlignment="1" applyProtection="1">
      <alignment horizontal="center" vertical="center"/>
      <protection locked="0"/>
    </xf>
    <xf numFmtId="165" fontId="16" fillId="0" borderId="47" xfId="0" applyNumberFormat="1" applyFont="1" applyBorder="1" applyAlignment="1" applyProtection="1">
      <alignment horizontal="center" vertical="center"/>
      <protection locked="0"/>
    </xf>
    <xf numFmtId="165" fontId="16" fillId="0" borderId="46" xfId="0" applyNumberFormat="1" applyFont="1" applyBorder="1" applyAlignment="1" applyProtection="1">
      <alignment horizontal="center" vertical="center"/>
    </xf>
    <xf numFmtId="165" fontId="16" fillId="0" borderId="47" xfId="0" applyNumberFormat="1" applyFont="1" applyBorder="1" applyAlignment="1" applyProtection="1">
      <alignment horizontal="center" vertical="center"/>
    </xf>
    <xf numFmtId="165" fontId="16" fillId="0" borderId="48" xfId="0" applyNumberFormat="1" applyFont="1" applyBorder="1" applyAlignment="1" applyProtection="1">
      <alignment horizontal="center" vertical="center"/>
    </xf>
    <xf numFmtId="0" fontId="22" fillId="11" borderId="56" xfId="0" applyFont="1" applyFill="1" applyBorder="1" applyAlignment="1">
      <alignment horizontal="right" vertical="center"/>
    </xf>
    <xf numFmtId="0" fontId="22" fillId="11" borderId="57" xfId="0" applyFont="1" applyFill="1" applyBorder="1" applyAlignment="1">
      <alignment horizontal="right" vertical="center"/>
    </xf>
    <xf numFmtId="0" fontId="22" fillId="11" borderId="58" xfId="0" applyFont="1" applyFill="1" applyBorder="1" applyAlignment="1">
      <alignment horizontal="right" vertical="center"/>
    </xf>
    <xf numFmtId="165" fontId="22" fillId="11" borderId="57" xfId="0" applyNumberFormat="1" applyFont="1" applyFill="1" applyBorder="1" applyAlignment="1">
      <alignment horizontal="center" vertical="center"/>
    </xf>
    <xf numFmtId="165" fontId="22" fillId="11" borderId="58" xfId="0" applyNumberFormat="1" applyFont="1" applyFill="1" applyBorder="1" applyAlignment="1">
      <alignment horizontal="center" vertical="center"/>
    </xf>
    <xf numFmtId="165" fontId="22" fillId="11" borderId="57" xfId="0" applyNumberFormat="1" applyFont="1" applyFill="1" applyBorder="1" applyAlignment="1" applyProtection="1">
      <alignment horizontal="center" vertical="center"/>
    </xf>
    <xf numFmtId="165" fontId="22" fillId="11" borderId="58" xfId="0" applyNumberFormat="1" applyFont="1" applyFill="1" applyBorder="1" applyAlignment="1" applyProtection="1">
      <alignment horizontal="center" vertical="center"/>
    </xf>
    <xf numFmtId="165" fontId="22" fillId="11" borderId="8" xfId="0" applyNumberFormat="1" applyFont="1" applyFill="1" applyBorder="1" applyAlignment="1" applyProtection="1">
      <alignment horizontal="center" vertical="center"/>
    </xf>
    <xf numFmtId="165" fontId="22" fillId="11" borderId="9" xfId="0" applyNumberFormat="1" applyFont="1" applyFill="1" applyBorder="1" applyAlignment="1" applyProtection="1">
      <alignment horizontal="center" vertical="center"/>
    </xf>
    <xf numFmtId="0" fontId="1" fillId="0" borderId="0" xfId="0" applyFont="1" applyAlignment="1">
      <alignment horizontal="right" vertical="center"/>
    </xf>
    <xf numFmtId="0" fontId="1" fillId="4" borderId="0" xfId="0" applyFont="1" applyFill="1" applyBorder="1" applyAlignment="1" applyProtection="1">
      <alignment horizontal="right"/>
    </xf>
    <xf numFmtId="0" fontId="1" fillId="4" borderId="0" xfId="0" applyFont="1" applyFill="1" applyBorder="1" applyAlignment="1" applyProtection="1">
      <alignment horizontal="left"/>
    </xf>
    <xf numFmtId="0" fontId="0" fillId="16" borderId="0" xfId="0" applyFill="1" applyAlignment="1">
      <alignment horizontal="left" vertical="top" wrapText="1"/>
    </xf>
    <xf numFmtId="0" fontId="1" fillId="4" borderId="0" xfId="0" applyFont="1" applyFill="1" applyAlignment="1">
      <alignment horizontal="left" vertical="center"/>
    </xf>
    <xf numFmtId="0" fontId="0" fillId="0" borderId="0" xfId="0" applyAlignment="1">
      <alignment horizontal="center" vertical="center"/>
    </xf>
    <xf numFmtId="0" fontId="0" fillId="13" borderId="0" xfId="0" applyFill="1" applyAlignment="1">
      <alignment horizontal="center"/>
    </xf>
    <xf numFmtId="0" fontId="0" fillId="4" borderId="0" xfId="0" applyFill="1" applyAlignment="1" applyProtection="1">
      <alignment horizontal="center" vertical="center"/>
    </xf>
    <xf numFmtId="0" fontId="0" fillId="16" borderId="0" xfId="0" applyFill="1" applyAlignment="1" applyProtection="1">
      <alignment horizontal="left" vertical="top" wrapText="1"/>
      <protection locked="0"/>
    </xf>
    <xf numFmtId="0" fontId="0" fillId="4" borderId="0" xfId="0" applyFill="1" applyAlignment="1">
      <alignment horizontal="center" vertical="top"/>
    </xf>
    <xf numFmtId="0" fontId="1" fillId="4" borderId="0" xfId="0" applyFont="1" applyFill="1" applyAlignment="1">
      <alignment horizontal="left" vertical="top"/>
    </xf>
    <xf numFmtId="0" fontId="1" fillId="14" borderId="0" xfId="0" applyFont="1" applyFill="1" applyAlignment="1" applyProtection="1">
      <alignment horizontal="center" vertical="center"/>
      <protection locked="0"/>
    </xf>
    <xf numFmtId="0" fontId="1" fillId="14" borderId="0" xfId="0" applyFont="1" applyFill="1" applyAlignment="1" applyProtection="1">
      <alignment horizontal="left" vertical="center"/>
    </xf>
    <xf numFmtId="0" fontId="0" fillId="0" borderId="0" xfId="0" applyAlignment="1" applyProtection="1">
      <alignment horizontal="right" vertical="center"/>
    </xf>
    <xf numFmtId="0" fontId="1" fillId="0" borderId="67" xfId="0" applyFont="1" applyBorder="1" applyAlignment="1" applyProtection="1">
      <alignment horizontal="center" vertical="center"/>
    </xf>
    <xf numFmtId="0" fontId="1" fillId="0" borderId="0" xfId="0" applyFont="1" applyBorder="1" applyAlignment="1" applyProtection="1">
      <alignment horizontal="center" vertical="center"/>
    </xf>
    <xf numFmtId="0" fontId="1" fillId="20" borderId="67" xfId="0" applyFont="1" applyFill="1" applyBorder="1" applyAlignment="1" applyProtection="1">
      <alignment horizontal="center" vertical="center"/>
      <protection locked="0"/>
    </xf>
    <xf numFmtId="0" fontId="1" fillId="20" borderId="0" xfId="0" applyFont="1" applyFill="1" applyBorder="1" applyAlignment="1" applyProtection="1">
      <alignment horizontal="center" vertical="center"/>
      <protection locked="0"/>
    </xf>
    <xf numFmtId="0" fontId="0" fillId="0" borderId="0" xfId="0" applyAlignment="1">
      <alignment horizontal="left" vertical="center"/>
    </xf>
    <xf numFmtId="0" fontId="1" fillId="0" borderId="0" xfId="0" applyFont="1" applyAlignment="1">
      <alignment horizontal="left" vertical="center"/>
    </xf>
    <xf numFmtId="165" fontId="1" fillId="0" borderId="81" xfId="0" applyNumberFormat="1" applyFont="1" applyBorder="1" applyAlignment="1">
      <alignment horizontal="center" vertical="center"/>
    </xf>
    <xf numFmtId="165" fontId="0" fillId="14" borderId="82" xfId="0" applyNumberFormat="1" applyFill="1" applyBorder="1" applyAlignment="1">
      <alignment horizontal="center" vertical="center"/>
    </xf>
    <xf numFmtId="165" fontId="0" fillId="14" borderId="78" xfId="0" applyNumberFormat="1" applyFill="1" applyBorder="1" applyAlignment="1">
      <alignment horizontal="center" vertical="center"/>
    </xf>
    <xf numFmtId="165" fontId="0" fillId="0" borderId="67" xfId="0" applyNumberFormat="1" applyBorder="1" applyAlignment="1">
      <alignment horizontal="center" vertical="center"/>
    </xf>
    <xf numFmtId="165" fontId="0" fillId="0" borderId="0" xfId="0" applyNumberFormat="1" applyBorder="1" applyAlignment="1">
      <alignment horizontal="center" vertical="center"/>
    </xf>
    <xf numFmtId="165" fontId="0" fillId="14" borderId="67" xfId="0" applyNumberFormat="1" applyFill="1" applyBorder="1" applyAlignment="1">
      <alignment horizontal="center" vertical="center"/>
    </xf>
    <xf numFmtId="165" fontId="0" fillId="14" borderId="0" xfId="0" applyNumberFormat="1" applyFill="1" applyBorder="1" applyAlignment="1">
      <alignment horizontal="center" vertical="center"/>
    </xf>
    <xf numFmtId="0" fontId="0" fillId="4" borderId="0" xfId="0" applyFill="1" applyAlignment="1">
      <alignment horizontal="left" vertical="center"/>
    </xf>
    <xf numFmtId="0" fontId="0" fillId="16" borderId="0" xfId="0" applyFill="1" applyBorder="1" applyAlignment="1">
      <alignment horizontal="right" vertical="center"/>
    </xf>
    <xf numFmtId="0" fontId="0" fillId="16" borderId="18" xfId="0" applyFill="1" applyBorder="1" applyAlignment="1">
      <alignment horizontal="right" vertical="center"/>
    </xf>
    <xf numFmtId="3" fontId="1" fillId="13" borderId="0" xfId="0" applyNumberFormat="1" applyFont="1" applyFill="1" applyBorder="1" applyAlignment="1">
      <alignment horizontal="left" vertical="center"/>
    </xf>
    <xf numFmtId="0" fontId="1" fillId="14" borderId="0" xfId="0" applyFont="1" applyFill="1" applyBorder="1" applyAlignment="1">
      <alignment horizontal="left" vertical="center"/>
    </xf>
    <xf numFmtId="0" fontId="1" fillId="16" borderId="0" xfId="0" applyFont="1" applyFill="1" applyBorder="1" applyAlignment="1">
      <alignment horizontal="left" vertical="center"/>
    </xf>
    <xf numFmtId="0" fontId="1" fillId="13" borderId="0" xfId="0" applyFont="1" applyFill="1" applyBorder="1" applyAlignment="1">
      <alignment horizontal="left" vertical="center"/>
    </xf>
    <xf numFmtId="0" fontId="0" fillId="14" borderId="0" xfId="0" applyFill="1" applyBorder="1" applyAlignment="1">
      <alignment horizontal="right" vertical="center"/>
    </xf>
    <xf numFmtId="0" fontId="0" fillId="14" borderId="18" xfId="0" applyFill="1" applyBorder="1" applyAlignment="1">
      <alignment horizontal="right" vertical="center"/>
    </xf>
    <xf numFmtId="3" fontId="1" fillId="13" borderId="67" xfId="0" applyNumberFormat="1" applyFont="1" applyFill="1" applyBorder="1" applyAlignment="1">
      <alignment horizontal="left" vertical="center"/>
    </xf>
    <xf numFmtId="0" fontId="1" fillId="16" borderId="67" xfId="0" applyFont="1" applyFill="1" applyBorder="1" applyAlignment="1">
      <alignment horizontal="left" vertical="center"/>
    </xf>
    <xf numFmtId="1" fontId="1" fillId="16" borderId="67" xfId="0" applyNumberFormat="1" applyFont="1" applyFill="1" applyBorder="1" applyAlignment="1">
      <alignment horizontal="left" vertical="center"/>
    </xf>
    <xf numFmtId="1" fontId="1" fillId="16" borderId="0" xfId="0" applyNumberFormat="1" applyFont="1" applyFill="1" applyBorder="1" applyAlignment="1">
      <alignment horizontal="left" vertical="center"/>
    </xf>
    <xf numFmtId="3" fontId="1" fillId="0" borderId="0" xfId="0" applyNumberFormat="1" applyFont="1" applyBorder="1" applyAlignment="1">
      <alignment horizontal="left" vertical="center"/>
    </xf>
    <xf numFmtId="0" fontId="1" fillId="4" borderId="0" xfId="0" applyFont="1" applyFill="1" applyAlignment="1">
      <alignment horizontal="right" vertical="center"/>
    </xf>
    <xf numFmtId="0" fontId="0" fillId="14" borderId="0" xfId="0" applyFill="1" applyAlignment="1">
      <alignment horizontal="left" vertical="center"/>
    </xf>
    <xf numFmtId="3" fontId="1" fillId="14" borderId="67" xfId="0" applyNumberFormat="1" applyFont="1" applyFill="1" applyBorder="1" applyAlignment="1">
      <alignment horizontal="left" vertical="center"/>
    </xf>
    <xf numFmtId="3" fontId="1" fillId="14" borderId="0" xfId="0" applyNumberFormat="1" applyFont="1" applyFill="1" applyBorder="1" applyAlignment="1">
      <alignment horizontal="left" vertical="center"/>
    </xf>
    <xf numFmtId="0" fontId="1" fillId="14" borderId="67" xfId="0" applyFont="1" applyFill="1" applyBorder="1" applyAlignment="1">
      <alignment horizontal="left" vertical="center"/>
    </xf>
    <xf numFmtId="0" fontId="1" fillId="0" borderId="0" xfId="0" applyFont="1" applyAlignment="1">
      <alignment horizontal="center" vertical="center"/>
    </xf>
    <xf numFmtId="4" fontId="1" fillId="20" borderId="67" xfId="0" applyNumberFormat="1" applyFont="1" applyFill="1" applyBorder="1" applyAlignment="1" applyProtection="1">
      <alignment horizontal="center" vertical="center"/>
      <protection locked="0"/>
    </xf>
    <xf numFmtId="0" fontId="1" fillId="17" borderId="0" xfId="0" applyFont="1" applyFill="1" applyAlignment="1" applyProtection="1">
      <alignment horizontal="center" vertical="center"/>
      <protection locked="0"/>
    </xf>
    <xf numFmtId="0" fontId="1" fillId="4" borderId="67" xfId="0" applyFont="1" applyFill="1" applyBorder="1" applyAlignment="1">
      <alignment horizontal="center" vertical="center"/>
    </xf>
    <xf numFmtId="0" fontId="1" fillId="4" borderId="0" xfId="0" applyFont="1" applyFill="1" applyBorder="1" applyAlignment="1">
      <alignment horizontal="center" vertical="center"/>
    </xf>
    <xf numFmtId="0" fontId="1" fillId="4" borderId="18" xfId="0" applyFont="1" applyFill="1" applyBorder="1" applyAlignment="1">
      <alignment horizontal="center" vertical="center"/>
    </xf>
    <xf numFmtId="0" fontId="1" fillId="14" borderId="67" xfId="0" applyFont="1" applyFill="1" applyBorder="1" applyAlignment="1">
      <alignment horizontal="center" vertical="center"/>
    </xf>
    <xf numFmtId="0" fontId="1" fillId="14" borderId="0" xfId="0" applyFont="1" applyFill="1" applyBorder="1" applyAlignment="1">
      <alignment horizontal="center" vertical="center"/>
    </xf>
    <xf numFmtId="0" fontId="1" fillId="14" borderId="18" xfId="0" applyFont="1" applyFill="1" applyBorder="1" applyAlignment="1">
      <alignment horizontal="center" vertical="center"/>
    </xf>
    <xf numFmtId="165" fontId="1" fillId="4" borderId="81" xfId="0" applyNumberFormat="1" applyFont="1" applyFill="1" applyBorder="1" applyAlignment="1">
      <alignment horizontal="center" vertical="center"/>
    </xf>
    <xf numFmtId="0" fontId="1" fillId="4" borderId="0" xfId="0" applyFont="1" applyFill="1" applyAlignment="1">
      <alignment horizontal="center" vertical="center"/>
    </xf>
    <xf numFmtId="0" fontId="0" fillId="4" borderId="0" xfId="0" applyFill="1" applyBorder="1" applyAlignment="1">
      <alignment horizontal="center" vertical="center"/>
    </xf>
    <xf numFmtId="3" fontId="1" fillId="14" borderId="67" xfId="0" applyNumberFormat="1" applyFont="1" applyFill="1" applyBorder="1" applyAlignment="1">
      <alignment horizontal="center" vertical="center"/>
    </xf>
    <xf numFmtId="3" fontId="1" fillId="14" borderId="0" xfId="0" applyNumberFormat="1" applyFont="1" applyFill="1" applyBorder="1" applyAlignment="1">
      <alignment horizontal="center" vertical="center"/>
    </xf>
    <xf numFmtId="3" fontId="1" fillId="4" borderId="67" xfId="0" applyNumberFormat="1" applyFont="1" applyFill="1" applyBorder="1" applyAlignment="1">
      <alignment horizontal="center" vertical="center"/>
    </xf>
    <xf numFmtId="3" fontId="1" fillId="4" borderId="0" xfId="0" applyNumberFormat="1" applyFont="1" applyFill="1" applyBorder="1" applyAlignment="1">
      <alignment horizontal="center" vertical="center"/>
    </xf>
    <xf numFmtId="165" fontId="0" fillId="14" borderId="18" xfId="0" applyNumberFormat="1" applyFill="1" applyBorder="1" applyAlignment="1">
      <alignment horizontal="center" vertical="center"/>
    </xf>
    <xf numFmtId="165" fontId="0" fillId="4" borderId="67" xfId="0" applyNumberFormat="1" applyFill="1" applyBorder="1" applyAlignment="1">
      <alignment horizontal="center" vertical="center"/>
    </xf>
    <xf numFmtId="165" fontId="0" fillId="4" borderId="0" xfId="0" applyNumberFormat="1" applyFill="1" applyBorder="1" applyAlignment="1">
      <alignment horizontal="center" vertical="center"/>
    </xf>
    <xf numFmtId="165" fontId="0" fillId="4" borderId="18" xfId="0" applyNumberFormat="1" applyFill="1" applyBorder="1" applyAlignment="1">
      <alignment horizontal="center" vertical="center"/>
    </xf>
    <xf numFmtId="165" fontId="1" fillId="14" borderId="67" xfId="0" applyNumberFormat="1" applyFont="1" applyFill="1" applyBorder="1" applyAlignment="1">
      <alignment horizontal="center" vertical="center"/>
    </xf>
    <xf numFmtId="165" fontId="1" fillId="14" borderId="0" xfId="0" applyNumberFormat="1" applyFont="1" applyFill="1" applyBorder="1" applyAlignment="1">
      <alignment horizontal="center" vertical="center"/>
    </xf>
    <xf numFmtId="165" fontId="1" fillId="4" borderId="67" xfId="0" applyNumberFormat="1" applyFont="1" applyFill="1" applyBorder="1" applyAlignment="1">
      <alignment horizontal="center" vertical="center"/>
    </xf>
    <xf numFmtId="165" fontId="1" fillId="4" borderId="0" xfId="0" applyNumberFormat="1" applyFont="1" applyFill="1" applyBorder="1" applyAlignment="1">
      <alignment horizontal="center" vertical="center"/>
    </xf>
    <xf numFmtId="0" fontId="1" fillId="15" borderId="0" xfId="0" applyFont="1" applyFill="1" applyAlignment="1">
      <alignment horizontal="center" vertical="center"/>
    </xf>
    <xf numFmtId="0" fontId="1" fillId="15" borderId="0" xfId="0" applyFont="1" applyFill="1" applyAlignment="1">
      <alignment horizontal="center" vertical="top" wrapText="1"/>
    </xf>
    <xf numFmtId="0" fontId="1" fillId="8" borderId="0" xfId="0" applyFont="1" applyFill="1" applyAlignment="1">
      <alignment horizontal="center"/>
    </xf>
    <xf numFmtId="3" fontId="1" fillId="4" borderId="0" xfId="0" applyNumberFormat="1" applyFont="1" applyFill="1" applyAlignment="1">
      <alignment horizontal="center" vertical="center"/>
    </xf>
    <xf numFmtId="0" fontId="1" fillId="14" borderId="0" xfId="0" applyFont="1" applyFill="1" applyAlignment="1">
      <alignment horizontal="left" vertical="center"/>
    </xf>
    <xf numFmtId="3" fontId="1" fillId="14" borderId="0" xfId="0" applyNumberFormat="1" applyFont="1" applyFill="1" applyAlignment="1">
      <alignment horizontal="center" vertical="center"/>
    </xf>
    <xf numFmtId="0" fontId="1" fillId="14" borderId="0" xfId="0" applyFont="1" applyFill="1" applyAlignment="1">
      <alignment horizontal="center" vertical="center"/>
    </xf>
    <xf numFmtId="0" fontId="0" fillId="4" borderId="67" xfId="0" applyFill="1" applyBorder="1" applyAlignment="1">
      <alignment horizontal="center" vertical="center"/>
    </xf>
    <xf numFmtId="0" fontId="0" fillId="14" borderId="67" xfId="0" applyFill="1" applyBorder="1" applyAlignment="1">
      <alignment horizontal="center" vertical="center"/>
    </xf>
    <xf numFmtId="0" fontId="0" fillId="14" borderId="0" xfId="0" applyFill="1" applyBorder="1" applyAlignment="1">
      <alignment horizontal="center" vertical="center"/>
    </xf>
    <xf numFmtId="0" fontId="0" fillId="4" borderId="0" xfId="0" applyFill="1" applyAlignment="1">
      <alignment horizontal="right" vertical="center"/>
    </xf>
    <xf numFmtId="0" fontId="1" fillId="16" borderId="0" xfId="0" applyFont="1" applyFill="1" applyAlignment="1">
      <alignment horizontal="left" vertical="center"/>
    </xf>
    <xf numFmtId="0" fontId="0" fillId="14" borderId="0" xfId="0" applyFill="1" applyAlignment="1">
      <alignment horizontal="right" vertical="center"/>
    </xf>
    <xf numFmtId="0" fontId="0" fillId="16" borderId="0" xfId="0" applyFill="1" applyAlignment="1">
      <alignment horizontal="right" vertical="center"/>
    </xf>
    <xf numFmtId="0" fontId="0" fillId="4" borderId="0" xfId="0" applyFill="1" applyAlignment="1">
      <alignment horizontal="center" vertical="center"/>
    </xf>
    <xf numFmtId="0" fontId="0" fillId="16" borderId="0" xfId="0" applyFill="1" applyAlignment="1">
      <alignment horizontal="left" vertical="center"/>
    </xf>
    <xf numFmtId="0" fontId="1" fillId="16" borderId="0" xfId="0" applyFont="1" applyFill="1" applyAlignment="1">
      <alignment horizontal="center" vertical="center"/>
    </xf>
    <xf numFmtId="165" fontId="1" fillId="14" borderId="0" xfId="0" applyNumberFormat="1" applyFont="1" applyFill="1" applyAlignment="1">
      <alignment horizontal="center" vertical="center"/>
    </xf>
    <xf numFmtId="165" fontId="1" fillId="16" borderId="0" xfId="0" applyNumberFormat="1" applyFont="1" applyFill="1" applyAlignment="1">
      <alignment horizontal="center" vertical="center"/>
    </xf>
    <xf numFmtId="9" fontId="1" fillId="14" borderId="0" xfId="0" applyNumberFormat="1" applyFont="1" applyFill="1" applyAlignment="1">
      <alignment horizontal="center" vertical="center"/>
    </xf>
    <xf numFmtId="9" fontId="1" fillId="14" borderId="67" xfId="0" applyNumberFormat="1" applyFont="1" applyFill="1" applyBorder="1" applyAlignment="1">
      <alignment horizontal="center" vertical="center"/>
    </xf>
    <xf numFmtId="0" fontId="0" fillId="14" borderId="67" xfId="0" applyFill="1" applyBorder="1" applyAlignment="1">
      <alignment horizontal="right" vertical="center"/>
    </xf>
    <xf numFmtId="0" fontId="0" fillId="4" borderId="18" xfId="0" applyFill="1" applyBorder="1" applyAlignment="1">
      <alignment horizontal="center" vertical="center"/>
    </xf>
    <xf numFmtId="0" fontId="0" fillId="4" borderId="67" xfId="0" applyFill="1" applyBorder="1" applyAlignment="1">
      <alignment horizontal="right" vertical="center"/>
    </xf>
    <xf numFmtId="0" fontId="0" fillId="4" borderId="0" xfId="0" applyFill="1" applyBorder="1" applyAlignment="1">
      <alignment horizontal="right" vertical="center"/>
    </xf>
    <xf numFmtId="3" fontId="1" fillId="4" borderId="0" xfId="0" applyNumberFormat="1" applyFont="1" applyFill="1" applyAlignment="1">
      <alignment horizontal="left" vertical="center"/>
    </xf>
    <xf numFmtId="0" fontId="0" fillId="4" borderId="67" xfId="0" applyFont="1" applyFill="1" applyBorder="1" applyAlignment="1">
      <alignment horizontal="right" vertical="center"/>
    </xf>
    <xf numFmtId="0" fontId="0" fillId="4" borderId="0" xfId="0" applyFont="1" applyFill="1" applyBorder="1" applyAlignment="1">
      <alignment horizontal="right" vertical="center"/>
    </xf>
    <xf numFmtId="3" fontId="1" fillId="14" borderId="0" xfId="0" applyNumberFormat="1" applyFont="1" applyFill="1" applyAlignment="1">
      <alignment horizontal="left" vertical="center"/>
    </xf>
    <xf numFmtId="0" fontId="1" fillId="4" borderId="0" xfId="0" applyFont="1" applyFill="1" applyAlignment="1">
      <alignment horizontal="center"/>
    </xf>
    <xf numFmtId="2" fontId="1" fillId="14" borderId="0" xfId="0" applyNumberFormat="1" applyFont="1" applyFill="1" applyAlignment="1">
      <alignment horizontal="left" vertical="center"/>
    </xf>
    <xf numFmtId="0" fontId="0" fillId="14" borderId="18" xfId="0" applyFill="1" applyBorder="1" applyAlignment="1">
      <alignment horizontal="center" vertical="center"/>
    </xf>
    <xf numFmtId="2" fontId="1" fillId="4" borderId="0" xfId="0" applyNumberFormat="1" applyFont="1" applyFill="1" applyAlignment="1">
      <alignment horizontal="left" vertical="center"/>
    </xf>
    <xf numFmtId="3" fontId="1" fillId="4" borderId="0" xfId="0" applyNumberFormat="1" applyFont="1" applyFill="1" applyBorder="1" applyAlignment="1">
      <alignment horizontal="left" vertical="center"/>
    </xf>
    <xf numFmtId="0" fontId="1" fillId="4" borderId="0" xfId="0" applyFont="1" applyFill="1" applyBorder="1" applyAlignment="1">
      <alignment horizontal="left" vertical="center"/>
    </xf>
    <xf numFmtId="1" fontId="1" fillId="4" borderId="0" xfId="0" applyNumberFormat="1" applyFont="1" applyFill="1" applyAlignment="1">
      <alignment horizontal="left" vertical="center"/>
    </xf>
    <xf numFmtId="1" fontId="1" fillId="14" borderId="0" xfId="0" applyNumberFormat="1" applyFont="1" applyFill="1" applyAlignment="1">
      <alignment horizontal="left" vertical="center"/>
    </xf>
    <xf numFmtId="0" fontId="0" fillId="14" borderId="67" xfId="0" applyFont="1" applyFill="1" applyBorder="1" applyAlignment="1">
      <alignment horizontal="right" vertical="center"/>
    </xf>
    <xf numFmtId="0" fontId="0" fillId="14" borderId="0" xfId="0" applyFont="1" applyFill="1" applyBorder="1" applyAlignment="1">
      <alignment horizontal="right" vertical="center"/>
    </xf>
    <xf numFmtId="2" fontId="22" fillId="4" borderId="0" xfId="0" applyNumberFormat="1" applyFont="1" applyFill="1" applyAlignment="1">
      <alignment horizontal="left" vertical="center"/>
    </xf>
    <xf numFmtId="2" fontId="22" fillId="14" borderId="0" xfId="0" applyNumberFormat="1" applyFont="1" applyFill="1" applyAlignment="1">
      <alignment horizontal="left" vertical="center"/>
    </xf>
    <xf numFmtId="165" fontId="0" fillId="4" borderId="0" xfId="0" applyNumberFormat="1" applyFill="1" applyAlignment="1">
      <alignment horizontal="center" vertical="center"/>
    </xf>
    <xf numFmtId="1" fontId="0" fillId="14" borderId="67" xfId="0" applyNumberFormat="1" applyFill="1" applyBorder="1" applyAlignment="1">
      <alignment horizontal="center" vertical="center"/>
    </xf>
    <xf numFmtId="1" fontId="0" fillId="14" borderId="18" xfId="0" applyNumberFormat="1" applyFill="1" applyBorder="1" applyAlignment="1">
      <alignment horizontal="center" vertical="center"/>
    </xf>
    <xf numFmtId="0" fontId="0" fillId="14" borderId="0" xfId="0" applyFill="1" applyAlignment="1">
      <alignment horizontal="center" vertical="center"/>
    </xf>
    <xf numFmtId="165" fontId="0" fillId="14" borderId="0" xfId="0" applyNumberFormat="1" applyFill="1" applyAlignment="1">
      <alignment horizontal="center" vertical="center"/>
    </xf>
    <xf numFmtId="1" fontId="0" fillId="4" borderId="67" xfId="0" applyNumberFormat="1" applyFill="1" applyBorder="1" applyAlignment="1">
      <alignment horizontal="center" vertical="center"/>
    </xf>
    <xf numFmtId="1" fontId="0" fillId="4" borderId="18" xfId="0" applyNumberFormat="1" applyFill="1" applyBorder="1" applyAlignment="1">
      <alignment horizontal="center" vertical="center"/>
    </xf>
    <xf numFmtId="0" fontId="1" fillId="4" borderId="0" xfId="0" applyFont="1" applyFill="1" applyAlignment="1" applyProtection="1">
      <alignment horizontal="left" vertical="center"/>
    </xf>
    <xf numFmtId="0" fontId="1" fillId="4" borderId="0" xfId="0" applyFont="1" applyFill="1" applyAlignment="1" applyProtection="1">
      <alignment horizontal="center" vertical="center"/>
    </xf>
    <xf numFmtId="0" fontId="0" fillId="14" borderId="0" xfId="0" applyFill="1" applyAlignment="1" applyProtection="1">
      <alignment horizontal="left" vertical="center"/>
    </xf>
    <xf numFmtId="1" fontId="0" fillId="14" borderId="67" xfId="0" applyNumberFormat="1" applyFill="1" applyBorder="1" applyAlignment="1" applyProtection="1">
      <alignment horizontal="center" vertical="center"/>
    </xf>
    <xf numFmtId="1" fontId="0" fillId="14" borderId="18" xfId="0" applyNumberFormat="1" applyFill="1" applyBorder="1" applyAlignment="1" applyProtection="1">
      <alignment horizontal="center" vertical="center"/>
    </xf>
    <xf numFmtId="0" fontId="0" fillId="14" borderId="0" xfId="0" applyFill="1" applyAlignment="1" applyProtection="1">
      <alignment horizontal="center" vertical="center"/>
    </xf>
    <xf numFmtId="165" fontId="0" fillId="14" borderId="67" xfId="0" applyNumberFormat="1" applyFill="1" applyBorder="1" applyAlignment="1" applyProtection="1">
      <alignment horizontal="center" vertical="center"/>
    </xf>
    <xf numFmtId="165" fontId="0" fillId="14" borderId="0" xfId="0" applyNumberFormat="1" applyFill="1" applyBorder="1" applyAlignment="1" applyProtection="1">
      <alignment horizontal="center" vertical="center"/>
    </xf>
    <xf numFmtId="165" fontId="0" fillId="14" borderId="18" xfId="0" applyNumberFormat="1" applyFill="1" applyBorder="1" applyAlignment="1" applyProtection="1">
      <alignment horizontal="center" vertical="center"/>
    </xf>
    <xf numFmtId="165" fontId="0" fillId="14" borderId="0" xfId="0" applyNumberFormat="1" applyFill="1" applyAlignment="1" applyProtection="1">
      <alignment horizontal="center" vertical="center"/>
    </xf>
    <xf numFmtId="0" fontId="0" fillId="4" borderId="0" xfId="0" applyFill="1" applyAlignment="1" applyProtection="1">
      <alignment horizontal="left" vertical="center"/>
    </xf>
    <xf numFmtId="1" fontId="0" fillId="4" borderId="67" xfId="0" applyNumberFormat="1" applyFill="1" applyBorder="1" applyAlignment="1" applyProtection="1">
      <alignment horizontal="center" vertical="center"/>
    </xf>
    <xf numFmtId="1" fontId="0" fillId="4" borderId="18" xfId="0" applyNumberFormat="1" applyFill="1" applyBorder="1" applyAlignment="1" applyProtection="1">
      <alignment horizontal="center" vertical="center"/>
    </xf>
    <xf numFmtId="165" fontId="0" fillId="4" borderId="67" xfId="0" applyNumberFormat="1" applyFill="1" applyBorder="1" applyAlignment="1" applyProtection="1">
      <alignment horizontal="center" vertical="center"/>
    </xf>
    <xf numFmtId="165" fontId="0" fillId="4" borderId="0" xfId="0" applyNumberFormat="1" applyFill="1" applyBorder="1" applyAlignment="1" applyProtection="1">
      <alignment horizontal="center" vertical="center"/>
    </xf>
    <xf numFmtId="165" fontId="0" fillId="4" borderId="18" xfId="0" applyNumberFormat="1" applyFill="1" applyBorder="1" applyAlignment="1" applyProtection="1">
      <alignment horizontal="center" vertical="center"/>
    </xf>
    <xf numFmtId="165" fontId="0" fillId="4" borderId="0" xfId="0" applyNumberFormat="1" applyFill="1" applyAlignment="1" applyProtection="1">
      <alignment horizontal="center" vertical="center"/>
    </xf>
    <xf numFmtId="165" fontId="0" fillId="14" borderId="44" xfId="0" applyNumberFormat="1" applyFill="1" applyBorder="1" applyAlignment="1">
      <alignment horizontal="center" vertical="center"/>
    </xf>
    <xf numFmtId="0" fontId="41" fillId="0" borderId="0" xfId="0" applyFont="1"/>
    <xf numFmtId="165" fontId="31" fillId="0" borderId="2" xfId="0" applyNumberFormat="1" applyFont="1" applyBorder="1" applyAlignment="1">
      <alignment horizontal="center" vertical="center"/>
    </xf>
    <xf numFmtId="165" fontId="31" fillId="0" borderId="17" xfId="0" applyNumberFormat="1" applyFont="1" applyBorder="1" applyAlignment="1">
      <alignment horizontal="center" vertical="center"/>
    </xf>
    <xf numFmtId="165" fontId="31" fillId="0" borderId="3" xfId="0" applyNumberFormat="1" applyFont="1" applyBorder="1" applyAlignment="1">
      <alignment horizontal="center" vertical="center"/>
    </xf>
    <xf numFmtId="165" fontId="31" fillId="0" borderId="83" xfId="0" applyNumberFormat="1" applyFont="1" applyBorder="1" applyAlignment="1">
      <alignment horizontal="center" vertical="center"/>
    </xf>
    <xf numFmtId="165" fontId="31" fillId="0" borderId="12" xfId="0" applyNumberFormat="1" applyFont="1" applyBorder="1" applyAlignment="1">
      <alignment horizontal="center" vertical="center"/>
    </xf>
    <xf numFmtId="165" fontId="31" fillId="0" borderId="84" xfId="0" applyNumberFormat="1" applyFont="1" applyBorder="1" applyAlignment="1">
      <alignment horizontal="center" vertical="center"/>
    </xf>
    <xf numFmtId="0" fontId="31" fillId="0" borderId="11" xfId="0" applyFont="1" applyBorder="1" applyAlignment="1">
      <alignment horizontal="right" vertical="center"/>
    </xf>
    <xf numFmtId="0" fontId="31" fillId="0" borderId="12" xfId="0" applyFont="1" applyBorder="1" applyAlignment="1">
      <alignment horizontal="right" vertical="center"/>
    </xf>
    <xf numFmtId="0" fontId="31" fillId="0" borderId="84" xfId="0" applyFont="1" applyBorder="1" applyAlignment="1">
      <alignment horizontal="right" vertical="center"/>
    </xf>
    <xf numFmtId="0" fontId="31" fillId="0" borderId="16" xfId="0" applyFont="1" applyBorder="1" applyAlignment="1">
      <alignment horizontal="right" vertical="center"/>
    </xf>
    <xf numFmtId="0" fontId="31" fillId="0" borderId="17" xfId="0" applyFont="1" applyBorder="1" applyAlignment="1">
      <alignment horizontal="right" vertical="center"/>
    </xf>
    <xf numFmtId="0" fontId="31" fillId="0" borderId="3" xfId="0" applyFont="1" applyBorder="1" applyAlignment="1">
      <alignment horizontal="right" vertical="center"/>
    </xf>
    <xf numFmtId="0" fontId="17" fillId="16" borderId="17" xfId="0" applyFont="1" applyFill="1" applyBorder="1" applyAlignment="1" applyProtection="1">
      <alignment horizontal="center" vertical="center"/>
      <protection locked="0"/>
    </xf>
    <xf numFmtId="0" fontId="17" fillId="16" borderId="22" xfId="0" applyFont="1" applyFill="1" applyBorder="1" applyAlignment="1" applyProtection="1">
      <alignment horizontal="center" vertical="center"/>
      <protection locked="0"/>
    </xf>
    <xf numFmtId="165" fontId="16" fillId="4" borderId="2" xfId="0" applyNumberFormat="1" applyFont="1" applyFill="1" applyBorder="1" applyAlignment="1" applyProtection="1">
      <alignment horizontal="right" vertical="center"/>
    </xf>
    <xf numFmtId="165" fontId="16" fillId="4" borderId="17" xfId="0" applyNumberFormat="1" applyFont="1" applyFill="1" applyBorder="1" applyAlignment="1" applyProtection="1">
      <alignment horizontal="right" vertical="center"/>
    </xf>
    <xf numFmtId="0" fontId="31" fillId="0" borderId="83" xfId="0" applyFont="1" applyBorder="1" applyAlignment="1">
      <alignment horizontal="right" vertical="center"/>
    </xf>
    <xf numFmtId="0" fontId="31" fillId="0" borderId="2" xfId="0" applyFont="1" applyBorder="1" applyAlignment="1">
      <alignment horizontal="right" vertical="center"/>
    </xf>
    <xf numFmtId="0" fontId="26" fillId="4" borderId="20" xfId="4" applyFont="1" applyFill="1" applyBorder="1" applyAlignment="1" applyProtection="1">
      <alignment horizontal="center" vertical="center"/>
      <protection locked="0"/>
    </xf>
    <xf numFmtId="0" fontId="26" fillId="4" borderId="21" xfId="4" applyFont="1" applyFill="1" applyBorder="1" applyAlignment="1" applyProtection="1">
      <alignment horizontal="center" vertical="center"/>
      <protection locked="0"/>
    </xf>
    <xf numFmtId="0" fontId="22" fillId="0" borderId="29" xfId="0" applyFont="1" applyBorder="1" applyAlignment="1" applyProtection="1">
      <alignment horizontal="right" vertical="center"/>
    </xf>
    <xf numFmtId="0" fontId="22" fillId="0" borderId="31" xfId="0" applyFont="1" applyBorder="1" applyAlignment="1" applyProtection="1">
      <alignment horizontal="right" vertical="center"/>
    </xf>
    <xf numFmtId="2" fontId="1" fillId="0" borderId="31" xfId="0" applyNumberFormat="1" applyFont="1" applyBorder="1" applyAlignment="1" applyProtection="1">
      <alignment horizontal="center" vertical="center"/>
    </xf>
    <xf numFmtId="2" fontId="1" fillId="0" borderId="30" xfId="0" applyNumberFormat="1" applyFont="1" applyBorder="1" applyAlignment="1" applyProtection="1">
      <alignment horizontal="center" vertical="center"/>
    </xf>
    <xf numFmtId="3" fontId="43" fillId="16" borderId="17" xfId="0" applyNumberFormat="1" applyFont="1" applyFill="1" applyBorder="1" applyAlignment="1" applyProtection="1">
      <alignment horizontal="center" vertical="center"/>
      <protection locked="0"/>
    </xf>
    <xf numFmtId="3" fontId="43" fillId="16" borderId="3" xfId="0" applyNumberFormat="1" applyFont="1" applyFill="1" applyBorder="1" applyAlignment="1" applyProtection="1">
      <alignment horizontal="center" vertical="center"/>
      <protection locked="0"/>
    </xf>
    <xf numFmtId="165" fontId="43" fillId="16" borderId="2" xfId="0" applyNumberFormat="1" applyFont="1" applyFill="1" applyBorder="1" applyAlignment="1" applyProtection="1">
      <alignment horizontal="center" vertical="center" wrapText="1"/>
      <protection locked="0"/>
    </xf>
    <xf numFmtId="165" fontId="43" fillId="16" borderId="17" xfId="0" applyNumberFormat="1" applyFont="1" applyFill="1" applyBorder="1" applyAlignment="1" applyProtection="1">
      <alignment horizontal="center" vertical="center" wrapText="1"/>
      <protection locked="0"/>
    </xf>
    <xf numFmtId="165" fontId="43" fillId="16" borderId="3" xfId="0" applyNumberFormat="1" applyFont="1" applyFill="1" applyBorder="1" applyAlignment="1" applyProtection="1">
      <alignment horizontal="center" vertical="center" wrapText="1"/>
      <protection locked="0"/>
    </xf>
    <xf numFmtId="165" fontId="43" fillId="4" borderId="2" xfId="0" applyNumberFormat="1" applyFont="1" applyFill="1" applyBorder="1" applyAlignment="1" applyProtection="1">
      <alignment horizontal="center" vertical="center" wrapText="1"/>
    </xf>
    <xf numFmtId="165" fontId="43" fillId="4" borderId="17" xfId="0" applyNumberFormat="1" applyFont="1" applyFill="1" applyBorder="1" applyAlignment="1" applyProtection="1">
      <alignment horizontal="center" vertical="center" wrapText="1"/>
    </xf>
    <xf numFmtId="165" fontId="43" fillId="4" borderId="3" xfId="0" applyNumberFormat="1" applyFont="1" applyFill="1" applyBorder="1" applyAlignment="1" applyProtection="1">
      <alignment horizontal="center" vertical="center" wrapText="1"/>
    </xf>
    <xf numFmtId="165" fontId="43" fillId="4" borderId="22" xfId="0" applyNumberFormat="1" applyFont="1" applyFill="1" applyBorder="1" applyAlignment="1" applyProtection="1">
      <alignment horizontal="center" vertical="center" wrapText="1"/>
    </xf>
    <xf numFmtId="0" fontId="16" fillId="4" borderId="17" xfId="0" applyFont="1" applyFill="1" applyBorder="1" applyAlignment="1" applyProtection="1">
      <alignment horizontal="right" vertical="center" wrapText="1"/>
    </xf>
    <xf numFmtId="165" fontId="17" fillId="16" borderId="17" xfId="0" applyNumberFormat="1" applyFont="1" applyFill="1" applyBorder="1" applyAlignment="1" applyProtection="1">
      <alignment horizontal="center" vertical="center"/>
      <protection locked="0"/>
    </xf>
    <xf numFmtId="165" fontId="17" fillId="16" borderId="3" xfId="0" applyNumberFormat="1" applyFont="1" applyFill="1" applyBorder="1" applyAlignment="1" applyProtection="1">
      <alignment horizontal="center" vertical="center"/>
      <protection locked="0"/>
    </xf>
    <xf numFmtId="165" fontId="16" fillId="4" borderId="17" xfId="0" applyNumberFormat="1" applyFont="1" applyFill="1" applyBorder="1" applyAlignment="1" applyProtection="1">
      <alignment horizontal="center" vertical="center"/>
    </xf>
    <xf numFmtId="0" fontId="17" fillId="16" borderId="3" xfId="0" applyFont="1" applyFill="1" applyBorder="1" applyAlignment="1" applyProtection="1">
      <alignment horizontal="center" vertical="center"/>
      <protection locked="0"/>
    </xf>
    <xf numFmtId="0" fontId="16" fillId="4" borderId="2" xfId="0" applyFont="1" applyFill="1" applyBorder="1" applyAlignment="1" applyProtection="1">
      <alignment horizontal="right" vertical="center"/>
    </xf>
    <xf numFmtId="0" fontId="16" fillId="4" borderId="17" xfId="0" applyFont="1" applyFill="1" applyBorder="1" applyAlignment="1" applyProtection="1">
      <alignment horizontal="right" vertical="center"/>
    </xf>
    <xf numFmtId="165" fontId="17" fillId="16" borderId="22" xfId="0" applyNumberFormat="1" applyFont="1" applyFill="1" applyBorder="1" applyAlignment="1" applyProtection="1">
      <alignment horizontal="center" vertical="center"/>
      <protection locked="0"/>
    </xf>
    <xf numFmtId="14" fontId="1" fillId="4" borderId="10" xfId="0" applyNumberFormat="1" applyFont="1" applyFill="1" applyBorder="1" applyAlignment="1" applyProtection="1">
      <alignment horizontal="center"/>
      <protection locked="0"/>
    </xf>
    <xf numFmtId="0" fontId="0" fillId="4" borderId="0" xfId="0" applyFill="1" applyBorder="1" applyAlignment="1" applyProtection="1">
      <alignment horizontal="center"/>
    </xf>
    <xf numFmtId="0" fontId="2" fillId="4" borderId="0" xfId="0" applyFont="1" applyFill="1" applyBorder="1" applyAlignment="1" applyProtection="1">
      <alignment horizontal="left"/>
    </xf>
    <xf numFmtId="0" fontId="4" fillId="4" borderId="0" xfId="0" applyFont="1" applyFill="1" applyBorder="1" applyAlignment="1" applyProtection="1">
      <alignment horizontal="left"/>
    </xf>
    <xf numFmtId="0" fontId="10" fillId="3" borderId="79" xfId="0" applyFont="1" applyFill="1" applyBorder="1" applyAlignment="1" applyProtection="1">
      <alignment horizontal="left"/>
    </xf>
    <xf numFmtId="0" fontId="10" fillId="3" borderId="10" xfId="0" applyFont="1" applyFill="1" applyBorder="1" applyAlignment="1" applyProtection="1">
      <alignment horizontal="left"/>
    </xf>
    <xf numFmtId="0" fontId="10" fillId="3" borderId="80" xfId="0" applyFont="1" applyFill="1" applyBorder="1" applyAlignment="1" applyProtection="1">
      <alignment horizontal="left"/>
    </xf>
    <xf numFmtId="0" fontId="52" fillId="0" borderId="37" xfId="0" applyFont="1" applyBorder="1" applyAlignment="1" applyProtection="1">
      <alignment horizontal="center" vertical="center" wrapText="1"/>
    </xf>
    <xf numFmtId="0" fontId="52" fillId="0" borderId="4" xfId="0" applyFont="1" applyBorder="1" applyAlignment="1" applyProtection="1">
      <alignment horizontal="center" vertical="center" wrapText="1"/>
    </xf>
    <xf numFmtId="0" fontId="52" fillId="0" borderId="36" xfId="0" applyFont="1" applyBorder="1" applyAlignment="1" applyProtection="1">
      <alignment horizontal="center" vertical="center" wrapText="1"/>
    </xf>
    <xf numFmtId="0" fontId="52" fillId="0" borderId="35" xfId="0" applyFont="1" applyBorder="1" applyAlignment="1" applyProtection="1">
      <alignment horizontal="center" vertical="center" wrapText="1"/>
    </xf>
    <xf numFmtId="0" fontId="52" fillId="0" borderId="10" xfId="0" applyFont="1" applyBorder="1" applyAlignment="1" applyProtection="1">
      <alignment horizontal="center" vertical="center" wrapText="1"/>
    </xf>
    <xf numFmtId="0" fontId="52" fillId="0" borderId="19" xfId="0" applyFont="1" applyBorder="1" applyAlignment="1" applyProtection="1">
      <alignment horizontal="center" vertical="center" wrapText="1"/>
    </xf>
    <xf numFmtId="0" fontId="3" fillId="0" borderId="0" xfId="0" applyFont="1" applyBorder="1" applyAlignment="1" applyProtection="1">
      <alignment horizontal="left" wrapText="1"/>
    </xf>
    <xf numFmtId="0" fontId="0" fillId="0" borderId="35" xfId="0" applyFont="1" applyBorder="1" applyAlignment="1" applyProtection="1">
      <alignment horizontal="center" vertical="center" wrapText="1"/>
    </xf>
    <xf numFmtId="0" fontId="0" fillId="0" borderId="10" xfId="0" applyFont="1" applyBorder="1" applyAlignment="1" applyProtection="1">
      <alignment horizontal="center" vertical="center" wrapText="1"/>
    </xf>
    <xf numFmtId="0" fontId="0" fillId="0" borderId="2" xfId="0" applyFont="1" applyBorder="1" applyAlignment="1" applyProtection="1">
      <alignment horizontal="center" vertical="center"/>
    </xf>
    <xf numFmtId="0" fontId="0" fillId="0" borderId="17" xfId="0" applyFont="1" applyBorder="1" applyAlignment="1" applyProtection="1">
      <alignment horizontal="center" vertical="center"/>
    </xf>
    <xf numFmtId="0" fontId="50" fillId="0" borderId="2" xfId="0" applyFont="1" applyBorder="1" applyAlignment="1" applyProtection="1">
      <alignment horizontal="left" vertical="center" wrapText="1"/>
    </xf>
    <xf numFmtId="0" fontId="50" fillId="0" borderId="17" xfId="0" applyFont="1" applyBorder="1" applyAlignment="1" applyProtection="1">
      <alignment horizontal="left" vertical="center" wrapText="1"/>
    </xf>
    <xf numFmtId="0" fontId="50" fillId="0" borderId="3" xfId="0" applyFont="1" applyBorder="1" applyAlignment="1" applyProtection="1">
      <alignment horizontal="left" vertical="center" wrapText="1"/>
    </xf>
    <xf numFmtId="0" fontId="0" fillId="0" borderId="37" xfId="0" applyFont="1" applyBorder="1" applyAlignment="1" applyProtection="1">
      <alignment horizontal="left" vertical="center"/>
    </xf>
    <xf numFmtId="0" fontId="0" fillId="0" borderId="4" xfId="0" applyFont="1" applyBorder="1" applyAlignment="1" applyProtection="1">
      <alignment horizontal="left" vertical="center"/>
    </xf>
    <xf numFmtId="0" fontId="0" fillId="0" borderId="4"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0" fontId="0" fillId="0" borderId="17" xfId="0" applyFont="1" applyBorder="1" applyAlignment="1" applyProtection="1">
      <alignment horizontal="left" vertical="center"/>
      <protection locked="0"/>
    </xf>
    <xf numFmtId="0" fontId="0" fillId="0" borderId="3" xfId="0" applyFont="1" applyBorder="1" applyAlignment="1" applyProtection="1">
      <alignment horizontal="left" vertical="center"/>
      <protection locked="0"/>
    </xf>
    <xf numFmtId="0" fontId="1" fillId="0" borderId="2" xfId="0" applyFont="1" applyBorder="1" applyAlignment="1" applyProtection="1">
      <alignment horizontal="center" vertical="center"/>
      <protection locked="0"/>
    </xf>
    <xf numFmtId="0" fontId="1" fillId="0" borderId="17"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3" fillId="4" borderId="0" xfId="0" applyFont="1" applyFill="1" applyBorder="1" applyAlignment="1" applyProtection="1">
      <alignment horizontal="center"/>
    </xf>
    <xf numFmtId="0" fontId="0" fillId="0" borderId="2" xfId="0" applyFont="1" applyBorder="1" applyAlignment="1" applyProtection="1">
      <alignment horizontal="right" vertical="center" wrapText="1"/>
    </xf>
    <xf numFmtId="0" fontId="0" fillId="0" borderId="17" xfId="0" applyFont="1" applyBorder="1" applyAlignment="1" applyProtection="1">
      <alignment horizontal="right" vertical="center" wrapText="1"/>
    </xf>
    <xf numFmtId="14" fontId="0" fillId="0" borderId="17" xfId="0" applyNumberFormat="1" applyFont="1" applyBorder="1" applyAlignment="1" applyProtection="1">
      <alignment horizontal="center" vertical="center"/>
      <protection locked="0"/>
    </xf>
    <xf numFmtId="14" fontId="0" fillId="0" borderId="3" xfId="0" applyNumberFormat="1" applyFont="1" applyBorder="1" applyAlignment="1" applyProtection="1">
      <alignment horizontal="center" vertical="center"/>
      <protection locked="0"/>
    </xf>
    <xf numFmtId="0" fontId="0" fillId="0" borderId="17" xfId="0" applyFont="1" applyBorder="1" applyAlignment="1" applyProtection="1">
      <alignment horizontal="center" vertical="center" wrapText="1"/>
      <protection locked="0"/>
    </xf>
    <xf numFmtId="0" fontId="0" fillId="0" borderId="17"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10" fillId="3" borderId="76" xfId="0" applyFont="1" applyFill="1" applyBorder="1" applyAlignment="1" applyProtection="1">
      <alignment horizontal="left"/>
    </xf>
    <xf numFmtId="0" fontId="10" fillId="3" borderId="0" xfId="0" applyFont="1" applyFill="1" applyAlignment="1" applyProtection="1">
      <alignment horizontal="left"/>
    </xf>
    <xf numFmtId="0" fontId="10" fillId="3" borderId="77" xfId="0" applyFont="1" applyFill="1" applyBorder="1" applyAlignment="1" applyProtection="1">
      <alignment horizontal="left"/>
    </xf>
    <xf numFmtId="0" fontId="0" fillId="0" borderId="4" xfId="0" applyFont="1" applyBorder="1" applyAlignment="1" applyProtection="1">
      <alignment horizontal="center" vertical="top" wrapText="1"/>
    </xf>
    <xf numFmtId="0" fontId="0" fillId="0" borderId="37" xfId="0" applyFont="1" applyBorder="1" applyAlignment="1" applyProtection="1">
      <alignment horizontal="left" vertical="top" wrapText="1"/>
    </xf>
    <xf numFmtId="0" fontId="0" fillId="0" borderId="4" xfId="0" applyFont="1" applyBorder="1" applyAlignment="1" applyProtection="1">
      <alignment horizontal="left" vertical="top" wrapText="1"/>
    </xf>
    <xf numFmtId="0" fontId="0" fillId="0" borderId="67" xfId="0" applyFont="1" applyBorder="1" applyAlignment="1" applyProtection="1">
      <alignment horizontal="left" vertical="top" wrapText="1"/>
    </xf>
    <xf numFmtId="0" fontId="0" fillId="0" borderId="0" xfId="0" applyFont="1" applyAlignment="1" applyProtection="1">
      <alignment horizontal="left" vertical="top" wrapText="1"/>
    </xf>
    <xf numFmtId="0" fontId="0" fillId="0" borderId="35" xfId="0" applyFont="1" applyBorder="1" applyAlignment="1" applyProtection="1">
      <alignment horizontal="left" vertical="top" wrapText="1"/>
    </xf>
    <xf numFmtId="0" fontId="0" fillId="0" borderId="10" xfId="0" applyFont="1" applyBorder="1" applyAlignment="1" applyProtection="1">
      <alignment horizontal="left" vertical="top" wrapText="1"/>
    </xf>
    <xf numFmtId="0" fontId="0" fillId="0" borderId="4" xfId="0" applyFont="1" applyBorder="1" applyAlignment="1" applyProtection="1">
      <alignment horizontal="left" vertical="top" wrapText="1"/>
      <protection locked="0"/>
    </xf>
    <xf numFmtId="0" fontId="0" fillId="0" borderId="36" xfId="0" applyFont="1" applyBorder="1" applyAlignment="1" applyProtection="1">
      <alignment horizontal="left" vertical="top" wrapText="1"/>
      <protection locked="0"/>
    </xf>
    <xf numFmtId="0" fontId="0" fillId="0" borderId="0" xfId="0" applyFont="1" applyAlignment="1" applyProtection="1">
      <alignment horizontal="left" vertical="top" wrapText="1"/>
      <protection locked="0"/>
    </xf>
    <xf numFmtId="0" fontId="0" fillId="0" borderId="18" xfId="0" applyFont="1" applyBorder="1" applyAlignment="1" applyProtection="1">
      <alignment horizontal="left" vertical="top" wrapText="1"/>
      <protection locked="0"/>
    </xf>
    <xf numFmtId="0" fontId="0" fillId="0" borderId="10" xfId="0" applyFont="1" applyBorder="1" applyAlignment="1" applyProtection="1">
      <alignment horizontal="left" vertical="top" wrapText="1"/>
      <protection locked="0"/>
    </xf>
    <xf numFmtId="0" fontId="0" fillId="0" borderId="19" xfId="0" applyFont="1" applyBorder="1" applyAlignment="1" applyProtection="1">
      <alignment horizontal="left" vertical="top" wrapText="1"/>
      <protection locked="0"/>
    </xf>
    <xf numFmtId="0" fontId="22" fillId="0" borderId="2" xfId="0" applyFont="1" applyBorder="1" applyAlignment="1" applyProtection="1">
      <alignment horizontal="center" vertical="center"/>
      <protection locked="0"/>
    </xf>
    <xf numFmtId="0" fontId="22" fillId="0" borderId="17" xfId="0" applyFont="1" applyBorder="1" applyAlignment="1" applyProtection="1">
      <alignment horizontal="center" vertical="center"/>
      <protection locked="0"/>
    </xf>
    <xf numFmtId="0" fontId="22" fillId="0" borderId="3" xfId="0" applyFont="1" applyBorder="1" applyAlignment="1" applyProtection="1">
      <alignment horizontal="center" vertical="center"/>
      <protection locked="0"/>
    </xf>
    <xf numFmtId="0" fontId="1" fillId="0" borderId="2" xfId="0" applyFont="1" applyBorder="1" applyAlignment="1" applyProtection="1">
      <alignment horizontal="right"/>
    </xf>
    <xf numFmtId="0" fontId="1" fillId="0" borderId="17" xfId="0" applyFont="1" applyBorder="1" applyAlignment="1" applyProtection="1">
      <alignment horizontal="right"/>
    </xf>
    <xf numFmtId="165" fontId="1" fillId="0" borderId="2" xfId="0" applyNumberFormat="1" applyFont="1" applyBorder="1" applyAlignment="1" applyProtection="1">
      <alignment horizontal="center"/>
    </xf>
    <xf numFmtId="165" fontId="1" fillId="0" borderId="17" xfId="0" applyNumberFormat="1" applyFont="1" applyBorder="1" applyAlignment="1" applyProtection="1">
      <alignment horizontal="center"/>
    </xf>
    <xf numFmtId="165" fontId="1" fillId="0" borderId="3" xfId="0" applyNumberFormat="1" applyFont="1" applyBorder="1" applyAlignment="1" applyProtection="1">
      <alignment horizontal="center"/>
    </xf>
    <xf numFmtId="0" fontId="1" fillId="0" borderId="10"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0" fillId="0" borderId="10" xfId="0" applyFont="1" applyBorder="1" applyAlignment="1" applyProtection="1">
      <alignment horizontal="right" vertical="center" wrapText="1"/>
    </xf>
    <xf numFmtId="0" fontId="1" fillId="0" borderId="10" xfId="0" applyFont="1" applyBorder="1" applyAlignment="1" applyProtection="1">
      <alignment horizontal="center" vertical="center"/>
    </xf>
    <xf numFmtId="0" fontId="1" fillId="0" borderId="19" xfId="0" applyFont="1" applyBorder="1" applyAlignment="1" applyProtection="1">
      <alignment horizontal="center" vertical="center"/>
    </xf>
    <xf numFmtId="0" fontId="31" fillId="0" borderId="17" xfId="0" applyFont="1" applyBorder="1" applyAlignment="1" applyProtection="1">
      <alignment horizontal="left" vertical="center"/>
    </xf>
    <xf numFmtId="0" fontId="31" fillId="0" borderId="3" xfId="0" applyFont="1" applyBorder="1" applyAlignment="1" applyProtection="1">
      <alignment horizontal="left" vertical="center"/>
    </xf>
    <xf numFmtId="0" fontId="0" fillId="0" borderId="4" xfId="0" applyFont="1" applyBorder="1" applyAlignment="1" applyProtection="1">
      <alignment horizontal="center" vertical="center"/>
    </xf>
    <xf numFmtId="165" fontId="1" fillId="0" borderId="2" xfId="0" applyNumberFormat="1" applyFont="1" applyBorder="1" applyAlignment="1" applyProtection="1">
      <alignment horizontal="center" vertical="center"/>
      <protection locked="0"/>
    </xf>
    <xf numFmtId="165" fontId="1" fillId="0" borderId="17" xfId="0" applyNumberFormat="1" applyFont="1" applyBorder="1" applyAlignment="1" applyProtection="1">
      <alignment horizontal="center" vertical="center"/>
      <protection locked="0"/>
    </xf>
    <xf numFmtId="165" fontId="1" fillId="0" borderId="3" xfId="0" applyNumberFormat="1" applyFont="1" applyBorder="1" applyAlignment="1" applyProtection="1">
      <alignment horizontal="center" vertical="center"/>
      <protection locked="0"/>
    </xf>
    <xf numFmtId="0" fontId="0" fillId="5" borderId="2" xfId="0" applyFont="1" applyFill="1" applyBorder="1" applyAlignment="1" applyProtection="1">
      <alignment horizontal="center"/>
    </xf>
    <xf numFmtId="0" fontId="0" fillId="5" borderId="17" xfId="0" applyFont="1" applyFill="1" applyBorder="1" applyAlignment="1" applyProtection="1">
      <alignment horizontal="center"/>
    </xf>
    <xf numFmtId="0" fontId="0" fillId="5" borderId="3" xfId="0" applyFont="1" applyFill="1" applyBorder="1" applyAlignment="1" applyProtection="1">
      <alignment horizontal="center"/>
    </xf>
    <xf numFmtId="0" fontId="0" fillId="0" borderId="2" xfId="0" applyFont="1" applyBorder="1" applyAlignment="1" applyProtection="1">
      <alignment horizontal="right" vertical="center"/>
    </xf>
    <xf numFmtId="0" fontId="0" fillId="0" borderId="17" xfId="0" applyFont="1" applyBorder="1" applyAlignment="1" applyProtection="1">
      <alignment horizontal="right" vertical="center"/>
    </xf>
    <xf numFmtId="165" fontId="22" fillId="0" borderId="2" xfId="0" applyNumberFormat="1" applyFont="1" applyBorder="1" applyAlignment="1" applyProtection="1">
      <alignment horizontal="center" vertical="center"/>
      <protection locked="0"/>
    </xf>
    <xf numFmtId="165" fontId="22" fillId="0" borderId="17" xfId="0" applyNumberFormat="1" applyFont="1" applyBorder="1" applyAlignment="1" applyProtection="1">
      <alignment horizontal="center" vertical="center"/>
      <protection locked="0"/>
    </xf>
    <xf numFmtId="165" fontId="22" fillId="0" borderId="3" xfId="0" applyNumberFormat="1" applyFont="1" applyBorder="1" applyAlignment="1" applyProtection="1">
      <alignment horizontal="center" vertical="center"/>
      <protection locked="0"/>
    </xf>
    <xf numFmtId="0" fontId="4" fillId="4" borderId="0" xfId="0" applyFont="1" applyFill="1" applyAlignment="1">
      <alignment horizontal="left" vertical="center"/>
    </xf>
    <xf numFmtId="0" fontId="65" fillId="4" borderId="0" xfId="0" applyFont="1" applyFill="1" applyAlignment="1">
      <alignment horizontal="left" vertical="center"/>
    </xf>
    <xf numFmtId="0" fontId="16" fillId="0" borderId="0" xfId="0" applyFont="1" applyBorder="1" applyAlignment="1">
      <alignment horizontal="center" vertical="center"/>
    </xf>
    <xf numFmtId="0" fontId="66" fillId="0" borderId="17" xfId="0" applyFont="1" applyBorder="1" applyAlignment="1">
      <alignment horizontal="center" vertical="center" wrapText="1"/>
    </xf>
    <xf numFmtId="0" fontId="3" fillId="0" borderId="2" xfId="0" applyFont="1" applyBorder="1" applyAlignment="1">
      <alignment horizontal="left" vertical="center"/>
    </xf>
    <xf numFmtId="0" fontId="3" fillId="0" borderId="17" xfId="0" applyFont="1" applyBorder="1" applyAlignment="1">
      <alignment horizontal="left" vertical="center"/>
    </xf>
    <xf numFmtId="0" fontId="3" fillId="0" borderId="3" xfId="0" applyFont="1" applyBorder="1" applyAlignment="1">
      <alignment horizontal="left" vertical="center"/>
    </xf>
    <xf numFmtId="0" fontId="3" fillId="0" borderId="67" xfId="0" applyFont="1" applyBorder="1" applyAlignment="1">
      <alignment vertical="center" wrapText="1"/>
    </xf>
    <xf numFmtId="0" fontId="3" fillId="0" borderId="0" xfId="0" applyFont="1" applyBorder="1" applyAlignment="1">
      <alignment vertical="center" wrapText="1"/>
    </xf>
    <xf numFmtId="0" fontId="3" fillId="0" borderId="18" xfId="0" applyFont="1" applyBorder="1" applyAlignment="1">
      <alignment vertical="center" wrapText="1"/>
    </xf>
    <xf numFmtId="0" fontId="72" fillId="0" borderId="0" xfId="0" applyFont="1" applyBorder="1" applyAlignment="1">
      <alignment horizontal="left" vertical="top" wrapText="1"/>
    </xf>
    <xf numFmtId="0" fontId="3" fillId="0" borderId="0" xfId="0" applyFont="1" applyBorder="1" applyAlignment="1">
      <alignment horizontal="left" vertical="top" wrapText="1"/>
    </xf>
    <xf numFmtId="0" fontId="3" fillId="0" borderId="18" xfId="0" applyFont="1" applyBorder="1" applyAlignment="1">
      <alignment horizontal="left" vertical="top" wrapText="1"/>
    </xf>
    <xf numFmtId="0" fontId="3" fillId="0" borderId="1" xfId="0" applyFont="1" applyBorder="1" applyAlignment="1">
      <alignment horizontal="left" vertical="top" wrapText="1"/>
    </xf>
    <xf numFmtId="0" fontId="3" fillId="0" borderId="10" xfId="0" applyFont="1" applyBorder="1" applyAlignment="1">
      <alignment horizontal="left" vertical="top" wrapText="1"/>
    </xf>
    <xf numFmtId="0" fontId="3" fillId="0" borderId="19" xfId="0" applyFont="1" applyBorder="1" applyAlignment="1">
      <alignment horizontal="left" vertical="top" wrapText="1"/>
    </xf>
    <xf numFmtId="0" fontId="3" fillId="0" borderId="4" xfId="0" applyFont="1" applyBorder="1" applyAlignment="1">
      <alignment vertical="center"/>
    </xf>
    <xf numFmtId="0" fontId="3" fillId="0" borderId="36" xfId="0" applyFont="1" applyBorder="1" applyAlignment="1">
      <alignment vertical="center"/>
    </xf>
    <xf numFmtId="0" fontId="3" fillId="0" borderId="67" xfId="0" applyFont="1" applyBorder="1" applyAlignment="1">
      <alignment vertical="center"/>
    </xf>
    <xf numFmtId="0" fontId="3" fillId="0" borderId="10" xfId="0" applyFont="1" applyBorder="1" applyAlignment="1">
      <alignment vertical="center"/>
    </xf>
    <xf numFmtId="0" fontId="3" fillId="0" borderId="10" xfId="0" applyFont="1" applyBorder="1" applyAlignment="1" applyProtection="1">
      <alignment horizontal="left" wrapText="1"/>
      <protection locked="0"/>
    </xf>
    <xf numFmtId="0" fontId="3" fillId="0" borderId="19" xfId="0" applyFont="1" applyBorder="1" applyAlignment="1" applyProtection="1">
      <alignment horizontal="left" wrapText="1"/>
      <protection locked="0"/>
    </xf>
    <xf numFmtId="0" fontId="3" fillId="0" borderId="35" xfId="0" applyFont="1" applyBorder="1" applyAlignment="1">
      <alignment vertical="center"/>
    </xf>
    <xf numFmtId="0" fontId="8" fillId="2" borderId="37" xfId="0" applyFont="1" applyFill="1" applyBorder="1" applyAlignment="1">
      <alignment vertical="center"/>
    </xf>
    <xf numFmtId="0" fontId="8" fillId="2" borderId="4" xfId="0" applyFont="1" applyFill="1" applyBorder="1" applyAlignment="1">
      <alignment vertical="center"/>
    </xf>
    <xf numFmtId="0" fontId="8" fillId="2" borderId="4" xfId="0" applyFont="1" applyFill="1" applyBorder="1"/>
    <xf numFmtId="0" fontId="8" fillId="2" borderId="36" xfId="0" applyFont="1" applyFill="1" applyBorder="1"/>
    <xf numFmtId="0" fontId="72" fillId="0" borderId="0" xfId="0" applyFont="1" applyAlignment="1">
      <alignment horizontal="left" vertical="center" wrapText="1"/>
    </xf>
    <xf numFmtId="0" fontId="3" fillId="0" borderId="0" xfId="0" applyFont="1" applyAlignment="1">
      <alignment horizontal="left" vertical="center" wrapText="1"/>
    </xf>
    <xf numFmtId="0" fontId="98" fillId="4" borderId="0" xfId="0" applyFont="1" applyFill="1" applyAlignment="1">
      <alignment horizontal="left" vertical="top" wrapText="1"/>
    </xf>
    <xf numFmtId="0" fontId="16" fillId="4" borderId="35" xfId="0" applyFont="1" applyFill="1" applyBorder="1" applyAlignment="1">
      <alignment horizontal="right" vertical="center"/>
    </xf>
    <xf numFmtId="0" fontId="16" fillId="4" borderId="10" xfId="0" applyFont="1" applyFill="1" applyBorder="1" applyAlignment="1">
      <alignment horizontal="right" vertical="center"/>
    </xf>
    <xf numFmtId="0" fontId="16" fillId="4" borderId="10" xfId="0" applyFont="1" applyFill="1" applyBorder="1" applyAlignment="1">
      <alignment horizontal="right" vertical="center" wrapText="1"/>
    </xf>
    <xf numFmtId="0" fontId="16" fillId="4" borderId="10" xfId="0" applyFont="1" applyFill="1" applyBorder="1" applyAlignment="1">
      <alignment horizontal="center" vertical="center" wrapText="1"/>
    </xf>
    <xf numFmtId="0" fontId="77" fillId="0" borderId="2" xfId="0" applyFont="1" applyBorder="1" applyAlignment="1">
      <alignment vertical="center"/>
    </xf>
    <xf numFmtId="0" fontId="77" fillId="0" borderId="17" xfId="0" applyFont="1" applyBorder="1" applyAlignment="1">
      <alignment vertical="center"/>
    </xf>
    <xf numFmtId="0" fontId="3" fillId="0" borderId="10" xfId="0" applyFont="1" applyBorder="1" applyAlignment="1" applyProtection="1">
      <alignment horizontal="left" vertical="center"/>
      <protection locked="0"/>
    </xf>
    <xf numFmtId="0" fontId="3" fillId="0" borderId="10"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0" fillId="3" borderId="0" xfId="0" applyFont="1" applyFill="1" applyAlignment="1">
      <alignment horizontal="left" vertical="center"/>
    </xf>
    <xf numFmtId="0" fontId="66" fillId="0" borderId="4" xfId="0" applyFont="1" applyBorder="1" applyAlignment="1">
      <alignment horizontal="center" vertical="center" wrapText="1"/>
    </xf>
    <xf numFmtId="0" fontId="3" fillId="0" borderId="2" xfId="0" applyFont="1" applyBorder="1" applyAlignment="1">
      <alignment vertical="center"/>
    </xf>
    <xf numFmtId="0" fontId="3" fillId="0" borderId="17" xfId="0" applyFont="1" applyBorder="1" applyAlignment="1">
      <alignment vertical="center"/>
    </xf>
    <xf numFmtId="0" fontId="3" fillId="0" borderId="3" xfId="0" applyFont="1" applyBorder="1" applyAlignment="1">
      <alignment vertical="center"/>
    </xf>
    <xf numFmtId="0" fontId="3" fillId="0" borderId="2"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3" fillId="0" borderId="2" xfId="0" applyFont="1" applyBorder="1" applyAlignment="1">
      <alignment horizontal="left" vertical="center" wrapText="1" indent="2"/>
    </xf>
    <xf numFmtId="0" fontId="3" fillId="0" borderId="17" xfId="0" applyFont="1" applyBorder="1" applyAlignment="1">
      <alignment horizontal="left" vertical="center" wrapText="1" indent="2"/>
    </xf>
    <xf numFmtId="0" fontId="3" fillId="0" borderId="3" xfId="0" applyFont="1" applyBorder="1" applyAlignment="1">
      <alignment horizontal="left" vertical="center" wrapText="1" indent="2"/>
    </xf>
    <xf numFmtId="0" fontId="3" fillId="0" borderId="2" xfId="0" applyFont="1" applyBorder="1" applyAlignment="1">
      <alignment horizontal="right" vertical="center"/>
    </xf>
    <xf numFmtId="0" fontId="3" fillId="0" borderId="3" xfId="0" applyFont="1" applyBorder="1" applyAlignment="1">
      <alignment horizontal="right" vertical="center"/>
    </xf>
    <xf numFmtId="0" fontId="3" fillId="0" borderId="17" xfId="0" applyFont="1" applyBorder="1" applyAlignment="1">
      <alignment horizontal="right" vertical="center"/>
    </xf>
    <xf numFmtId="0" fontId="8" fillId="2" borderId="36" xfId="0" applyFont="1" applyFill="1" applyBorder="1" applyAlignment="1">
      <alignment vertical="center"/>
    </xf>
    <xf numFmtId="0" fontId="3" fillId="0" borderId="19" xfId="0" applyFont="1" applyBorder="1" applyAlignment="1">
      <alignment vertical="center"/>
    </xf>
    <xf numFmtId="0" fontId="3" fillId="0" borderId="35" xfId="0" applyFont="1" applyBorder="1" applyAlignment="1" applyProtection="1">
      <alignment horizontal="left" vertical="center" wrapText="1"/>
      <protection locked="0"/>
    </xf>
    <xf numFmtId="0" fontId="3" fillId="0" borderId="10" xfId="0" applyFont="1" applyBorder="1" applyAlignment="1">
      <alignment horizontal="right" vertical="center"/>
    </xf>
    <xf numFmtId="0" fontId="3" fillId="0" borderId="2" xfId="0" applyFont="1" applyBorder="1" applyAlignment="1" applyProtection="1">
      <alignment horizontal="left" vertical="center"/>
      <protection locked="0"/>
    </xf>
    <xf numFmtId="0" fontId="3" fillId="0" borderId="17" xfId="0" applyFont="1" applyBorder="1" applyAlignment="1" applyProtection="1">
      <alignment horizontal="left" vertical="center"/>
      <protection locked="0"/>
    </xf>
    <xf numFmtId="0" fontId="3" fillId="0" borderId="3" xfId="0" applyFont="1" applyBorder="1" applyAlignment="1" applyProtection="1">
      <alignment horizontal="left" vertical="center"/>
      <protection locked="0"/>
    </xf>
    <xf numFmtId="0" fontId="3" fillId="0" borderId="0" xfId="0" applyFont="1" applyBorder="1" applyAlignment="1" applyProtection="1">
      <alignment horizontal="left" vertical="center" wrapText="1"/>
      <protection locked="0"/>
    </xf>
    <xf numFmtId="0" fontId="3" fillId="0" borderId="37" xfId="0" applyFont="1" applyBorder="1" applyAlignment="1">
      <alignment horizontal="left" vertical="center" wrapText="1" indent="2"/>
    </xf>
    <xf numFmtId="0" fontId="3" fillId="0" borderId="4" xfId="0" applyFont="1" applyBorder="1" applyAlignment="1">
      <alignment horizontal="left" vertical="center" wrapText="1" indent="2"/>
    </xf>
    <xf numFmtId="0" fontId="3" fillId="0" borderId="36" xfId="0" applyFont="1" applyBorder="1" applyAlignment="1">
      <alignment horizontal="left" vertical="center" wrapText="1" indent="2"/>
    </xf>
    <xf numFmtId="0" fontId="76" fillId="4" borderId="0" xfId="0" applyFont="1" applyFill="1" applyAlignment="1">
      <alignment horizontal="left"/>
    </xf>
    <xf numFmtId="0" fontId="76" fillId="4" borderId="17" xfId="0" applyFont="1" applyFill="1" applyBorder="1" applyAlignment="1" applyProtection="1">
      <alignment horizontal="left" vertical="center"/>
      <protection locked="0"/>
    </xf>
    <xf numFmtId="0" fontId="76" fillId="4" borderId="0" xfId="0" applyFont="1" applyFill="1" applyAlignment="1">
      <alignment horizontal="right"/>
    </xf>
    <xf numFmtId="14" fontId="76" fillId="4" borderId="17" xfId="0" applyNumberFormat="1" applyFont="1" applyFill="1" applyBorder="1" applyAlignment="1" applyProtection="1">
      <alignment horizontal="left" vertical="center"/>
      <protection locked="0"/>
    </xf>
    <xf numFmtId="0" fontId="3" fillId="4" borderId="0" xfId="0" applyFont="1" applyFill="1" applyAlignment="1">
      <alignment horizontal="left" vertical="center" wrapText="1" indent="2"/>
    </xf>
    <xf numFmtId="0" fontId="10" fillId="3" borderId="2" xfId="0" applyFont="1" applyFill="1" applyBorder="1" applyAlignment="1">
      <alignment vertical="center"/>
    </xf>
    <xf numFmtId="0" fontId="10" fillId="3" borderId="17" xfId="0" applyFont="1" applyFill="1" applyBorder="1" applyAlignment="1">
      <alignment vertical="center"/>
    </xf>
    <xf numFmtId="0" fontId="10" fillId="3" borderId="3" xfId="0" applyFont="1" applyFill="1" applyBorder="1" applyAlignment="1">
      <alignment vertical="center"/>
    </xf>
    <xf numFmtId="0" fontId="3" fillId="4" borderId="10" xfId="0" applyFont="1" applyFill="1" applyBorder="1" applyAlignment="1">
      <alignment horizontal="center" vertical="center" wrapText="1"/>
    </xf>
    <xf numFmtId="0" fontId="76" fillId="4" borderId="0" xfId="0" applyFont="1" applyFill="1" applyAlignment="1">
      <alignment horizontal="center"/>
    </xf>
    <xf numFmtId="0" fontId="8" fillId="2" borderId="67" xfId="0" applyFont="1" applyFill="1" applyBorder="1" applyAlignment="1">
      <alignment vertical="center"/>
    </xf>
    <xf numFmtId="0" fontId="8" fillId="2" borderId="0" xfId="0" applyFont="1" applyFill="1" applyBorder="1" applyAlignment="1">
      <alignment vertical="center"/>
    </xf>
    <xf numFmtId="0" fontId="8" fillId="2" borderId="0" xfId="0" applyFont="1" applyFill="1" applyBorder="1"/>
    <xf numFmtId="0" fontId="8" fillId="2" borderId="18" xfId="0" applyFont="1" applyFill="1" applyBorder="1"/>
    <xf numFmtId="0" fontId="3" fillId="0" borderId="67" xfId="0" applyFont="1" applyBorder="1" applyAlignment="1">
      <alignment horizontal="left" wrapText="1" indent="2"/>
    </xf>
    <xf numFmtId="0" fontId="3" fillId="0" borderId="0" xfId="0" applyFont="1" applyBorder="1" applyAlignment="1">
      <alignment horizontal="left" wrapText="1" indent="2"/>
    </xf>
    <xf numFmtId="0" fontId="3" fillId="0" borderId="18" xfId="0" applyFont="1" applyBorder="1" applyAlignment="1">
      <alignment horizontal="left" wrapText="1" indent="2"/>
    </xf>
    <xf numFmtId="0" fontId="3" fillId="0" borderId="35" xfId="0" applyFont="1" applyBorder="1" applyAlignment="1">
      <alignment horizontal="left" wrapText="1" indent="2"/>
    </xf>
    <xf numFmtId="0" fontId="3" fillId="0" borderId="10" xfId="0" applyFont="1" applyBorder="1" applyAlignment="1">
      <alignment horizontal="left" wrapText="1" indent="2"/>
    </xf>
    <xf numFmtId="0" fontId="3" fillId="0" borderId="19" xfId="0" applyFont="1" applyBorder="1" applyAlignment="1">
      <alignment horizontal="left" wrapText="1" indent="2"/>
    </xf>
    <xf numFmtId="0" fontId="75" fillId="0" borderId="0" xfId="0" applyFont="1" applyAlignment="1">
      <alignment horizontal="left" vertical="center" wrapText="1"/>
    </xf>
    <xf numFmtId="0" fontId="16" fillId="4" borderId="10" xfId="0" applyFont="1" applyFill="1" applyBorder="1" applyAlignment="1" applyProtection="1">
      <alignment horizontal="left" vertical="center"/>
      <protection locked="0"/>
    </xf>
    <xf numFmtId="14" fontId="16" fillId="4" borderId="10" xfId="0" applyNumberFormat="1" applyFont="1" applyFill="1" applyBorder="1" applyAlignment="1" applyProtection="1">
      <alignment horizontal="left" vertical="center"/>
      <protection locked="0"/>
    </xf>
    <xf numFmtId="0" fontId="0" fillId="0" borderId="4" xfId="0" applyBorder="1" applyAlignment="1">
      <alignment horizontal="center"/>
    </xf>
    <xf numFmtId="0" fontId="10" fillId="3" borderId="37" xfId="0" applyFont="1" applyFill="1" applyBorder="1" applyAlignment="1">
      <alignment vertical="center"/>
    </xf>
    <xf numFmtId="0" fontId="10" fillId="3" borderId="4" xfId="0" applyFont="1" applyFill="1" applyBorder="1" applyAlignment="1">
      <alignment vertical="center"/>
    </xf>
    <xf numFmtId="0" fontId="10" fillId="3" borderId="36" xfId="0" applyFont="1" applyFill="1" applyBorder="1" applyAlignment="1">
      <alignment vertical="center"/>
    </xf>
    <xf numFmtId="0" fontId="67" fillId="0" borderId="2" xfId="0" applyFont="1" applyBorder="1" applyAlignment="1">
      <alignment vertical="center" wrapText="1"/>
    </xf>
    <xf numFmtId="0" fontId="67" fillId="0" borderId="17" xfId="0" applyFont="1" applyBorder="1" applyAlignment="1">
      <alignment vertical="center" wrapText="1"/>
    </xf>
    <xf numFmtId="0" fontId="67" fillId="0" borderId="3" xfId="0" applyFont="1" applyBorder="1" applyAlignment="1">
      <alignment vertical="center" wrapText="1"/>
    </xf>
    <xf numFmtId="0" fontId="3" fillId="0" borderId="2" xfId="0" applyFont="1" applyBorder="1" applyAlignment="1">
      <alignment horizontal="left" wrapText="1" indent="2"/>
    </xf>
    <xf numFmtId="0" fontId="3" fillId="0" borderId="17" xfId="0" applyFont="1" applyBorder="1" applyAlignment="1">
      <alignment horizontal="left" wrapText="1" indent="2"/>
    </xf>
    <xf numFmtId="0" fontId="3" fillId="0" borderId="3" xfId="0" applyFont="1" applyBorder="1" applyAlignment="1">
      <alignment horizontal="left" wrapText="1" indent="2"/>
    </xf>
    <xf numFmtId="0" fontId="3" fillId="0" borderId="10" xfId="0" applyFont="1" applyBorder="1" applyAlignment="1">
      <alignment horizontal="left" wrapText="1"/>
    </xf>
    <xf numFmtId="0" fontId="3" fillId="0" borderId="19" xfId="0" applyFont="1" applyBorder="1" applyAlignment="1">
      <alignment horizontal="left" wrapText="1"/>
    </xf>
    <xf numFmtId="0" fontId="3" fillId="0" borderId="67" xfId="0" applyFont="1" applyBorder="1" applyAlignment="1">
      <alignment horizontal="left" vertical="center" wrapText="1" indent="2"/>
    </xf>
    <xf numFmtId="0" fontId="3" fillId="0" borderId="0" xfId="0" applyFont="1" applyBorder="1" applyAlignment="1">
      <alignment horizontal="left" vertical="center" wrapText="1" indent="2"/>
    </xf>
    <xf numFmtId="0" fontId="3" fillId="0" borderId="18" xfId="0" applyFont="1" applyBorder="1" applyAlignment="1">
      <alignment horizontal="left" vertical="center" wrapText="1" indent="2"/>
    </xf>
    <xf numFmtId="0" fontId="3" fillId="0" borderId="10" xfId="0" applyFont="1" applyBorder="1" applyAlignment="1">
      <alignment horizontal="left" vertical="center" wrapText="1" indent="2"/>
    </xf>
    <xf numFmtId="0" fontId="3" fillId="0" borderId="19" xfId="0" applyFont="1" applyBorder="1" applyAlignment="1">
      <alignment horizontal="left" vertical="center" wrapText="1" indent="2"/>
    </xf>
    <xf numFmtId="0" fontId="3" fillId="0" borderId="0" xfId="0" applyFont="1" applyBorder="1" applyAlignment="1">
      <alignment vertical="center"/>
    </xf>
    <xf numFmtId="0" fontId="3" fillId="0" borderId="18" xfId="0" applyFont="1" applyBorder="1" applyAlignment="1">
      <alignment vertical="center"/>
    </xf>
    <xf numFmtId="0" fontId="68" fillId="0" borderId="67" xfId="0" applyFont="1" applyBorder="1" applyAlignment="1">
      <alignment horizontal="left" vertical="center" wrapText="1" indent="1"/>
    </xf>
    <xf numFmtId="0" fontId="68" fillId="0" borderId="0" xfId="0" applyFont="1" applyBorder="1" applyAlignment="1">
      <alignment horizontal="left" vertical="center" wrapText="1" indent="1"/>
    </xf>
    <xf numFmtId="0" fontId="68" fillId="0" borderId="18" xfId="0" applyFont="1" applyBorder="1" applyAlignment="1">
      <alignment horizontal="left" vertical="center" wrapText="1" indent="1"/>
    </xf>
    <xf numFmtId="0" fontId="0" fillId="4" borderId="0" xfId="0" applyFill="1" applyBorder="1" applyAlignment="1">
      <alignment horizontal="center"/>
    </xf>
    <xf numFmtId="0" fontId="0" fillId="4" borderId="18" xfId="0" applyFill="1" applyBorder="1" applyAlignment="1">
      <alignment horizontal="center"/>
    </xf>
    <xf numFmtId="0" fontId="3" fillId="0" borderId="4" xfId="0" applyFont="1" applyBorder="1" applyAlignment="1" applyProtection="1">
      <alignment horizontal="left" vertical="center" wrapText="1"/>
      <protection locked="0"/>
    </xf>
    <xf numFmtId="0" fontId="3" fillId="0" borderId="36" xfId="0" applyFont="1" applyBorder="1" applyAlignment="1" applyProtection="1">
      <alignment horizontal="left" vertical="center" wrapText="1"/>
      <protection locked="0"/>
    </xf>
    <xf numFmtId="0" fontId="66" fillId="0" borderId="37" xfId="0" applyFont="1" applyBorder="1" applyAlignment="1">
      <alignment horizontal="left" vertical="center" wrapText="1" indent="2"/>
    </xf>
    <xf numFmtId="0" fontId="66" fillId="0" borderId="4" xfId="0" applyFont="1" applyBorder="1" applyAlignment="1">
      <alignment horizontal="left" vertical="center" wrapText="1" indent="2"/>
    </xf>
    <xf numFmtId="0" fontId="66" fillId="0" borderId="36" xfId="0" applyFont="1" applyBorder="1" applyAlignment="1">
      <alignment horizontal="left" vertical="center" wrapText="1" indent="2"/>
    </xf>
    <xf numFmtId="0" fontId="66" fillId="0" borderId="35" xfId="0" applyFont="1" applyBorder="1" applyAlignment="1">
      <alignment horizontal="left" vertical="center" wrapText="1" indent="2"/>
    </xf>
    <xf numFmtId="0" fontId="66" fillId="0" borderId="10" xfId="0" applyFont="1" applyBorder="1" applyAlignment="1">
      <alignment horizontal="left" vertical="center" wrapText="1" indent="2"/>
    </xf>
    <xf numFmtId="0" fontId="66" fillId="0" borderId="19" xfId="0" applyFont="1" applyBorder="1" applyAlignment="1">
      <alignment horizontal="left" vertical="center" wrapText="1" indent="2"/>
    </xf>
    <xf numFmtId="0" fontId="3" fillId="0" borderId="17" xfId="0" applyFont="1" applyBorder="1" applyAlignment="1" applyProtection="1">
      <alignment horizontal="left" wrapText="1"/>
      <protection locked="0"/>
    </xf>
    <xf numFmtId="0" fontId="3" fillId="0" borderId="3" xfId="0" applyFont="1" applyBorder="1" applyAlignment="1" applyProtection="1">
      <alignment horizontal="left" wrapText="1"/>
      <protection locked="0"/>
    </xf>
    <xf numFmtId="0" fontId="3" fillId="0" borderId="4" xfId="0" applyFont="1" applyBorder="1" applyAlignment="1">
      <alignment horizontal="left" vertical="center" wrapText="1"/>
    </xf>
    <xf numFmtId="0" fontId="3" fillId="0" borderId="36" xfId="0" applyFont="1" applyBorder="1" applyAlignment="1">
      <alignment horizontal="left" vertical="center" wrapText="1"/>
    </xf>
    <xf numFmtId="0" fontId="3" fillId="21" borderId="1" xfId="0" applyFont="1" applyFill="1" applyBorder="1" applyAlignment="1" applyProtection="1">
      <alignment horizontal="center" vertical="center"/>
      <protection locked="0"/>
    </xf>
    <xf numFmtId="0" fontId="3" fillId="0" borderId="4" xfId="0" applyFont="1" applyBorder="1" applyAlignment="1">
      <alignment vertical="center" wrapText="1"/>
    </xf>
    <xf numFmtId="0" fontId="3" fillId="0" borderId="36" xfId="0" applyFont="1" applyBorder="1" applyAlignment="1">
      <alignment vertical="center" wrapText="1"/>
    </xf>
    <xf numFmtId="0" fontId="3" fillId="0" borderId="10" xfId="0" applyFont="1" applyBorder="1" applyAlignment="1">
      <alignment vertical="center" wrapText="1"/>
    </xf>
    <xf numFmtId="0" fontId="3" fillId="0" borderId="19" xfId="0" applyFont="1" applyBorder="1" applyAlignment="1">
      <alignment vertical="center" wrapText="1"/>
    </xf>
    <xf numFmtId="0" fontId="3" fillId="0" borderId="4" xfId="0" applyFont="1" applyBorder="1" applyAlignment="1" applyProtection="1">
      <alignment horizontal="left" wrapText="1"/>
      <protection locked="0"/>
    </xf>
    <xf numFmtId="0" fontId="3" fillId="0" borderId="36" xfId="0" applyFont="1" applyBorder="1" applyAlignment="1" applyProtection="1">
      <alignment horizontal="left" wrapText="1"/>
      <protection locked="0"/>
    </xf>
    <xf numFmtId="0" fontId="3" fillId="0" borderId="37" xfId="0" applyFont="1" applyBorder="1" applyAlignment="1">
      <alignment horizontal="left" vertical="center"/>
    </xf>
    <xf numFmtId="0" fontId="3" fillId="0" borderId="4" xfId="0" applyFont="1" applyBorder="1" applyAlignment="1">
      <alignment horizontal="left" vertical="center"/>
    </xf>
    <xf numFmtId="0" fontId="3" fillId="0" borderId="36" xfId="0" applyFont="1" applyBorder="1" applyAlignment="1">
      <alignment horizontal="left" vertical="center"/>
    </xf>
    <xf numFmtId="0" fontId="3" fillId="0" borderId="17" xfId="0" applyFont="1" applyBorder="1" applyAlignment="1">
      <alignment wrapText="1"/>
    </xf>
    <xf numFmtId="0" fontId="3" fillId="0" borderId="17" xfId="0" applyFont="1" applyBorder="1" applyAlignment="1" applyProtection="1">
      <alignment horizontal="left" vertical="top" wrapText="1"/>
      <protection locked="0"/>
    </xf>
    <xf numFmtId="0" fontId="3" fillId="0" borderId="3" xfId="0" applyFont="1" applyBorder="1" applyAlignment="1" applyProtection="1">
      <alignment horizontal="left" vertical="top" wrapText="1"/>
      <protection locked="0"/>
    </xf>
    <xf numFmtId="14" fontId="16" fillId="4" borderId="10" xfId="0" applyNumberFormat="1" applyFont="1" applyFill="1" applyBorder="1" applyAlignment="1" applyProtection="1">
      <alignment horizontal="center" vertical="center" wrapText="1"/>
      <protection locked="0"/>
    </xf>
    <xf numFmtId="14" fontId="16" fillId="4" borderId="19" xfId="0" applyNumberFormat="1" applyFont="1" applyFill="1" applyBorder="1" applyAlignment="1" applyProtection="1">
      <alignment horizontal="center" vertical="center" wrapText="1"/>
      <protection locked="0"/>
    </xf>
    <xf numFmtId="0" fontId="16" fillId="4" borderId="19" xfId="0" applyFont="1" applyFill="1" applyBorder="1" applyAlignment="1">
      <alignment horizontal="center" vertical="center" wrapText="1"/>
    </xf>
    <xf numFmtId="0" fontId="16" fillId="4" borderId="10" xfId="0" applyFont="1" applyFill="1" applyBorder="1" applyAlignment="1">
      <alignment horizontal="left" vertical="center" wrapText="1"/>
    </xf>
    <xf numFmtId="0" fontId="3" fillId="0" borderId="17" xfId="0" applyFont="1" applyBorder="1" applyAlignment="1">
      <alignment horizontal="left" vertical="center" wrapText="1"/>
    </xf>
    <xf numFmtId="0" fontId="66" fillId="0" borderId="67" xfId="0" applyFont="1" applyBorder="1" applyAlignment="1">
      <alignment horizontal="left" vertical="center" wrapText="1" indent="2"/>
    </xf>
    <xf numFmtId="0" fontId="0" fillId="0" borderId="14" xfId="0" applyBorder="1" applyAlignment="1" applyProtection="1">
      <alignment horizontal="center"/>
    </xf>
    <xf numFmtId="0" fontId="0" fillId="0" borderId="10" xfId="0" applyBorder="1" applyAlignment="1" applyProtection="1">
      <alignment horizontal="center"/>
    </xf>
    <xf numFmtId="0" fontId="0" fillId="0" borderId="15" xfId="0" applyBorder="1" applyAlignment="1" applyProtection="1">
      <alignment horizontal="center"/>
    </xf>
    <xf numFmtId="0" fontId="0" fillId="0" borderId="23" xfId="0" applyBorder="1" applyAlignment="1" applyProtection="1">
      <alignment horizontal="center"/>
    </xf>
    <xf numFmtId="0" fontId="0" fillId="0" borderId="4" xfId="0" applyBorder="1" applyAlignment="1" applyProtection="1">
      <alignment horizontal="center"/>
    </xf>
    <xf numFmtId="0" fontId="0" fillId="0" borderId="24" xfId="0" applyBorder="1" applyAlignment="1" applyProtection="1">
      <alignment horizontal="center"/>
    </xf>
    <xf numFmtId="0" fontId="3" fillId="0" borderId="5" xfId="0" applyFont="1" applyBorder="1" applyAlignment="1" applyProtection="1">
      <alignment horizontal="left" vertical="center"/>
    </xf>
    <xf numFmtId="0" fontId="3" fillId="0" borderId="0" xfId="0" applyFont="1" applyAlignment="1" applyProtection="1">
      <alignment horizontal="left" vertical="center"/>
    </xf>
    <xf numFmtId="0" fontId="6" fillId="0" borderId="0" xfId="0" applyFont="1" applyAlignment="1" applyProtection="1">
      <alignment horizontal="center" vertical="center"/>
      <protection locked="0"/>
    </xf>
    <xf numFmtId="0" fontId="3" fillId="0" borderId="0" xfId="0" applyFont="1" applyAlignment="1" applyProtection="1">
      <alignment horizontal="right" vertical="center"/>
    </xf>
    <xf numFmtId="0" fontId="6" fillId="0" borderId="0" xfId="0" applyFont="1" applyAlignment="1" applyProtection="1">
      <alignment vertical="center"/>
      <protection locked="0"/>
    </xf>
    <xf numFmtId="0" fontId="2" fillId="4" borderId="0" xfId="0" applyFont="1" applyFill="1" applyAlignment="1" applyProtection="1">
      <alignment horizontal="left" vertical="center"/>
    </xf>
    <xf numFmtId="0" fontId="4" fillId="4" borderId="0" xfId="0" applyFont="1" applyFill="1" applyAlignment="1" applyProtection="1">
      <alignment horizontal="left" vertical="center"/>
    </xf>
    <xf numFmtId="0" fontId="3" fillId="0" borderId="0" xfId="0" applyFont="1" applyAlignment="1" applyProtection="1">
      <alignment horizontal="center"/>
    </xf>
    <xf numFmtId="0" fontId="0" fillId="0" borderId="5" xfId="0" applyBorder="1" applyAlignment="1" applyProtection="1">
      <alignment horizontal="center"/>
    </xf>
    <xf numFmtId="0" fontId="0" fillId="0" borderId="0" xfId="0" applyAlignment="1" applyProtection="1">
      <alignment horizontal="center"/>
    </xf>
    <xf numFmtId="0" fontId="0" fillId="0" borderId="6" xfId="0" applyBorder="1" applyAlignment="1" applyProtection="1">
      <alignment horizontal="center"/>
    </xf>
    <xf numFmtId="0" fontId="6" fillId="0" borderId="0" xfId="0" applyFont="1" applyAlignment="1" applyProtection="1">
      <alignment horizontal="left" vertical="center"/>
    </xf>
    <xf numFmtId="0" fontId="6" fillId="0" borderId="0" xfId="0" applyFont="1" applyAlignment="1" applyProtection="1">
      <alignment horizontal="center" vertical="center"/>
    </xf>
    <xf numFmtId="0" fontId="10" fillId="3" borderId="5" xfId="0" applyFont="1" applyFill="1" applyBorder="1" applyAlignment="1" applyProtection="1">
      <alignment horizontal="left" vertical="center"/>
    </xf>
    <xf numFmtId="0" fontId="10" fillId="3" borderId="0" xfId="0" applyFont="1" applyFill="1" applyAlignment="1" applyProtection="1">
      <alignment horizontal="left" vertical="center"/>
    </xf>
    <xf numFmtId="0" fontId="81" fillId="3" borderId="0" xfId="0" applyFont="1" applyFill="1" applyAlignment="1" applyProtection="1">
      <alignment horizontal="right" vertical="center"/>
    </xf>
    <xf numFmtId="14" fontId="14" fillId="0" borderId="0" xfId="0" applyNumberFormat="1" applyFont="1" applyAlignment="1" applyProtection="1">
      <alignment horizontal="center" vertical="center"/>
      <protection locked="0"/>
    </xf>
    <xf numFmtId="0" fontId="60" fillId="10" borderId="5" xfId="0" applyFont="1" applyFill="1" applyBorder="1" applyAlignment="1">
      <alignment horizontal="left"/>
    </xf>
    <xf numFmtId="0" fontId="60" fillId="10" borderId="0" xfId="0" applyFont="1" applyFill="1" applyAlignment="1">
      <alignment horizontal="left"/>
    </xf>
    <xf numFmtId="0" fontId="60" fillId="10" borderId="6" xfId="0" applyFont="1" applyFill="1" applyBorder="1" applyAlignment="1">
      <alignment horizontal="left"/>
    </xf>
    <xf numFmtId="0" fontId="3" fillId="0" borderId="14" xfId="0" applyFont="1" applyBorder="1" applyAlignment="1">
      <alignment horizontal="right"/>
    </xf>
    <xf numFmtId="0" fontId="3" fillId="0" borderId="10" xfId="0" applyFont="1" applyBorder="1" applyAlignment="1">
      <alignment horizontal="right"/>
    </xf>
    <xf numFmtId="0" fontId="3" fillId="0" borderId="19" xfId="0" applyFont="1" applyBorder="1" applyAlignment="1">
      <alignment horizontal="right"/>
    </xf>
    <xf numFmtId="0" fontId="3" fillId="0" borderId="35" xfId="0" applyFont="1" applyBorder="1" applyAlignment="1">
      <alignment horizontal="center" vertical="center"/>
    </xf>
    <xf numFmtId="0" fontId="3" fillId="0" borderId="10" xfId="0" applyFont="1" applyBorder="1" applyAlignment="1">
      <alignment horizontal="center" vertical="center"/>
    </xf>
    <xf numFmtId="0" fontId="3" fillId="0" borderId="19" xfId="0" applyFont="1" applyBorder="1" applyAlignment="1">
      <alignment horizontal="center" vertical="center"/>
    </xf>
    <xf numFmtId="0" fontId="95" fillId="0" borderId="35" xfId="0" applyFont="1" applyBorder="1" applyAlignment="1">
      <alignment horizontal="center" vertical="center" wrapText="1"/>
    </xf>
    <xf numFmtId="0" fontId="95" fillId="0" borderId="10" xfId="0" applyFont="1" applyBorder="1" applyAlignment="1">
      <alignment horizontal="center" vertical="center" wrapText="1"/>
    </xf>
    <xf numFmtId="0" fontId="95" fillId="0" borderId="19" xfId="0" applyFont="1" applyBorder="1" applyAlignment="1">
      <alignment horizontal="center" vertical="center" wrapText="1"/>
    </xf>
    <xf numFmtId="0" fontId="3" fillId="0" borderId="5" xfId="0" applyFont="1" applyBorder="1" applyAlignment="1" applyProtection="1">
      <alignment horizontal="center" vertical="center"/>
    </xf>
    <xf numFmtId="0" fontId="3" fillId="0" borderId="0" xfId="0" applyFont="1" applyAlignment="1" applyProtection="1">
      <alignment horizontal="center" vertical="center"/>
    </xf>
    <xf numFmtId="0" fontId="99" fillId="0" borderId="0" xfId="0" applyFont="1" applyAlignment="1" applyProtection="1">
      <alignment horizontal="center" vertical="center"/>
    </xf>
    <xf numFmtId="1" fontId="3" fillId="0" borderId="2" xfId="0" applyNumberFormat="1" applyFont="1" applyBorder="1" applyAlignment="1" applyProtection="1">
      <alignment horizontal="center" vertical="center"/>
      <protection locked="0"/>
    </xf>
    <xf numFmtId="1" fontId="3" fillId="0" borderId="3" xfId="0" applyNumberFormat="1" applyFont="1" applyBorder="1" applyAlignment="1" applyProtection="1">
      <alignment horizontal="center" vertical="center"/>
      <protection locked="0"/>
    </xf>
    <xf numFmtId="0" fontId="66" fillId="0" borderId="5" xfId="0" applyFont="1" applyBorder="1" applyAlignment="1" applyProtection="1">
      <alignment horizontal="left" vertical="top" wrapText="1"/>
    </xf>
    <xf numFmtId="0" fontId="66" fillId="0" borderId="0" xfId="0" applyFont="1" applyBorder="1" applyAlignment="1" applyProtection="1">
      <alignment horizontal="left" vertical="top" wrapText="1"/>
    </xf>
    <xf numFmtId="0" fontId="66" fillId="0" borderId="6" xfId="0" applyFont="1" applyBorder="1" applyAlignment="1" applyProtection="1">
      <alignment horizontal="left" vertical="top" wrapText="1"/>
    </xf>
    <xf numFmtId="0" fontId="66" fillId="0" borderId="23" xfId="0" applyFont="1" applyBorder="1" applyAlignment="1" applyProtection="1">
      <alignment horizontal="left" vertical="top" wrapText="1"/>
    </xf>
    <xf numFmtId="0" fontId="66" fillId="0" borderId="4" xfId="0" applyFont="1" applyBorder="1" applyAlignment="1" applyProtection="1">
      <alignment horizontal="left" vertical="top" wrapText="1"/>
    </xf>
    <xf numFmtId="0" fontId="66" fillId="0" borderId="24" xfId="0" applyFont="1" applyBorder="1" applyAlignment="1" applyProtection="1">
      <alignment horizontal="left" vertical="top" wrapText="1"/>
    </xf>
    <xf numFmtId="0" fontId="66" fillId="0" borderId="5" xfId="0" applyFont="1" applyBorder="1" applyAlignment="1">
      <alignment horizontal="left" vertical="top" wrapText="1"/>
    </xf>
    <xf numFmtId="0" fontId="66" fillId="0" borderId="0" xfId="0" applyFont="1" applyBorder="1" applyAlignment="1">
      <alignment horizontal="left" vertical="top" wrapText="1"/>
    </xf>
    <xf numFmtId="0" fontId="66" fillId="0" borderId="6" xfId="0" applyFont="1" applyBorder="1" applyAlignment="1">
      <alignment horizontal="left" vertical="top" wrapText="1"/>
    </xf>
    <xf numFmtId="0" fontId="3" fillId="0" borderId="5"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3" fillId="0" borderId="14" xfId="0" applyFont="1" applyBorder="1" applyAlignment="1" applyProtection="1">
      <alignment horizontal="left" vertical="top" wrapText="1"/>
      <protection locked="0"/>
    </xf>
    <xf numFmtId="0" fontId="3" fillId="0" borderId="10" xfId="0" applyFont="1" applyBorder="1" applyAlignment="1" applyProtection="1">
      <alignment horizontal="left" vertical="top" wrapText="1"/>
      <protection locked="0"/>
    </xf>
    <xf numFmtId="0" fontId="3" fillId="0" borderId="15" xfId="0" applyFont="1" applyBorder="1" applyAlignment="1" applyProtection="1">
      <alignment horizontal="left" vertical="top" wrapText="1"/>
      <protection locked="0"/>
    </xf>
    <xf numFmtId="0" fontId="3" fillId="0" borderId="1" xfId="0" applyFont="1" applyBorder="1" applyAlignment="1">
      <alignment horizontal="left" vertical="center"/>
    </xf>
    <xf numFmtId="0" fontId="3" fillId="0" borderId="1" xfId="0" applyFont="1" applyBorder="1" applyAlignment="1">
      <alignment horizontal="center" vertical="center"/>
    </xf>
    <xf numFmtId="1" fontId="3" fillId="0" borderId="1" xfId="0" applyNumberFormat="1"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0" xfId="0" applyFont="1" applyAlignment="1">
      <alignment horizontal="left" vertical="center"/>
    </xf>
    <xf numFmtId="1" fontId="3" fillId="0" borderId="2" xfId="6" applyNumberFormat="1" applyFont="1" applyBorder="1" applyAlignment="1">
      <alignment horizontal="center" vertical="center"/>
    </xf>
    <xf numFmtId="1" fontId="3" fillId="0" borderId="3" xfId="6" applyNumberFormat="1" applyFont="1" applyBorder="1" applyAlignment="1">
      <alignment horizontal="center" vertical="center"/>
    </xf>
    <xf numFmtId="0" fontId="100" fillId="10" borderId="37" xfId="0" applyFont="1" applyFill="1" applyBorder="1" applyAlignment="1">
      <alignment horizontal="center" vertical="center"/>
    </xf>
    <xf numFmtId="0" fontId="100" fillId="10" borderId="4" xfId="0" applyFont="1" applyFill="1" applyBorder="1" applyAlignment="1">
      <alignment horizontal="center" vertical="center"/>
    </xf>
    <xf numFmtId="0" fontId="100" fillId="10" borderId="36" xfId="0" applyFont="1" applyFill="1" applyBorder="1" applyAlignment="1">
      <alignment horizontal="center" vertical="center"/>
    </xf>
    <xf numFmtId="0" fontId="3" fillId="0" borderId="67" xfId="0" applyFont="1" applyBorder="1" applyAlignment="1" applyProtection="1">
      <alignment horizontal="left" vertical="center"/>
    </xf>
    <xf numFmtId="0" fontId="3" fillId="0" borderId="18" xfId="0" applyFont="1" applyBorder="1" applyAlignment="1" applyProtection="1">
      <alignment horizontal="left" vertical="center"/>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0" xfId="0" applyFont="1" applyBorder="1" applyAlignment="1" applyProtection="1">
      <alignment horizontal="center" vertical="center"/>
    </xf>
    <xf numFmtId="0" fontId="3" fillId="0" borderId="5" xfId="0" applyFont="1" applyBorder="1" applyAlignment="1">
      <alignment horizontal="right" vertical="center"/>
    </xf>
    <xf numFmtId="0" fontId="3" fillId="0" borderId="0" xfId="0" applyFont="1" applyAlignment="1">
      <alignment horizontal="right" vertical="center"/>
    </xf>
    <xf numFmtId="0" fontId="3" fillId="0" borderId="18" xfId="0" applyFont="1" applyBorder="1" applyAlignment="1">
      <alignment horizontal="right" vertical="center"/>
    </xf>
    <xf numFmtId="1" fontId="3" fillId="0" borderId="2" xfId="0" applyNumberFormat="1" applyFont="1" applyBorder="1" applyAlignment="1">
      <alignment horizontal="center" vertical="center"/>
    </xf>
    <xf numFmtId="1" fontId="3" fillId="0" borderId="3" xfId="0" applyNumberFormat="1" applyFont="1" applyBorder="1" applyAlignment="1">
      <alignment horizontal="center" vertical="center"/>
    </xf>
    <xf numFmtId="0" fontId="3" fillId="0" borderId="67" xfId="0" applyFont="1" applyBorder="1" applyAlignment="1">
      <alignment horizontal="right" vertical="center"/>
    </xf>
    <xf numFmtId="0" fontId="0" fillId="0" borderId="7" xfId="0" applyBorder="1" applyAlignment="1">
      <alignment horizontal="center"/>
    </xf>
    <xf numFmtId="0" fontId="0" fillId="0" borderId="9" xfId="0" applyBorder="1" applyAlignment="1">
      <alignment horizontal="center"/>
    </xf>
    <xf numFmtId="0" fontId="3" fillId="0" borderId="5" xfId="0" applyFont="1" applyBorder="1" applyAlignment="1" applyProtection="1">
      <alignment horizontal="right" wrapText="1"/>
    </xf>
    <xf numFmtId="0" fontId="3" fillId="0" borderId="0" xfId="0" applyFont="1" applyBorder="1" applyAlignment="1" applyProtection="1">
      <alignment horizontal="right" wrapText="1"/>
    </xf>
    <xf numFmtId="0" fontId="60" fillId="10" borderId="0" xfId="0" applyFont="1" applyFill="1" applyBorder="1" applyAlignment="1">
      <alignment horizontal="left"/>
    </xf>
    <xf numFmtId="0" fontId="0" fillId="0" borderId="0" xfId="0" applyBorder="1" applyAlignment="1" applyProtection="1">
      <alignment horizontal="center"/>
    </xf>
    <xf numFmtId="0" fontId="3" fillId="0" borderId="5" xfId="0" applyFont="1" applyBorder="1" applyAlignment="1" applyProtection="1">
      <alignment horizontal="right" vertical="center"/>
    </xf>
    <xf numFmtId="0" fontId="3" fillId="0" borderId="0" xfId="0" applyFont="1" applyBorder="1" applyAlignment="1" applyProtection="1">
      <alignment horizontal="right" vertical="center"/>
    </xf>
    <xf numFmtId="0" fontId="6" fillId="0" borderId="5" xfId="0" applyFont="1" applyBorder="1" applyAlignment="1" applyProtection="1">
      <alignment horizontal="center" vertical="center"/>
    </xf>
    <xf numFmtId="0" fontId="6" fillId="0" borderId="6" xfId="0" applyFont="1" applyBorder="1" applyAlignment="1" applyProtection="1">
      <alignment horizontal="center" vertical="center"/>
    </xf>
    <xf numFmtId="0" fontId="81" fillId="3" borderId="0" xfId="0" applyFont="1" applyFill="1" applyAlignment="1">
      <alignment horizontal="right" vertical="center"/>
    </xf>
    <xf numFmtId="0" fontId="10" fillId="3" borderId="5" xfId="0" applyFont="1" applyFill="1" applyBorder="1" applyAlignment="1">
      <alignment horizontal="left" vertical="center"/>
    </xf>
    <xf numFmtId="0" fontId="10" fillId="3" borderId="0" xfId="0" applyFont="1" applyFill="1" applyBorder="1" applyAlignment="1">
      <alignment horizontal="left" vertical="center"/>
    </xf>
    <xf numFmtId="0" fontId="3" fillId="0" borderId="18" xfId="0" applyFont="1" applyBorder="1" applyAlignment="1" applyProtection="1">
      <alignment horizontal="right" vertical="center"/>
    </xf>
    <xf numFmtId="0" fontId="3" fillId="0" borderId="14" xfId="0" applyFont="1" applyBorder="1" applyAlignment="1">
      <alignment horizontal="center"/>
    </xf>
    <xf numFmtId="0" fontId="3" fillId="0" borderId="10" xfId="0" applyFont="1" applyBorder="1" applyAlignment="1">
      <alignment horizontal="center"/>
    </xf>
    <xf numFmtId="0" fontId="3" fillId="0" borderId="19" xfId="0" applyFont="1" applyBorder="1" applyAlignment="1">
      <alignment horizontal="center"/>
    </xf>
    <xf numFmtId="0" fontId="3" fillId="0" borderId="67" xfId="0" applyFont="1" applyBorder="1" applyAlignment="1" applyProtection="1">
      <alignment horizontal="right"/>
    </xf>
    <xf numFmtId="0" fontId="3" fillId="0" borderId="0" xfId="0" applyFont="1" applyBorder="1" applyAlignment="1" applyProtection="1">
      <alignment horizontal="right"/>
    </xf>
    <xf numFmtId="0" fontId="3" fillId="0" borderId="18" xfId="0" applyFont="1" applyBorder="1" applyAlignment="1" applyProtection="1">
      <alignment horizontal="right"/>
    </xf>
    <xf numFmtId="0" fontId="66" fillId="0" borderId="67" xfId="0" applyFont="1" applyBorder="1" applyAlignment="1" applyProtection="1">
      <alignment horizontal="left" vertical="center"/>
    </xf>
    <xf numFmtId="0" fontId="66" fillId="0" borderId="0" xfId="0" applyFont="1" applyBorder="1" applyAlignment="1" applyProtection="1">
      <alignment horizontal="left" vertical="center"/>
    </xf>
    <xf numFmtId="0" fontId="66" fillId="0" borderId="18" xfId="0" applyFont="1" applyBorder="1" applyAlignment="1" applyProtection="1">
      <alignment horizontal="left" vertical="center"/>
    </xf>
    <xf numFmtId="0" fontId="3" fillId="0" borderId="0" xfId="0" applyFont="1" applyBorder="1" applyAlignment="1" applyProtection="1">
      <alignment horizontal="center"/>
      <protection locked="0"/>
    </xf>
    <xf numFmtId="0" fontId="100" fillId="10" borderId="0" xfId="0" applyFont="1" applyFill="1" applyBorder="1" applyAlignment="1">
      <alignment horizontal="center" vertical="center"/>
    </xf>
    <xf numFmtId="0" fontId="66" fillId="0" borderId="1" xfId="0" applyFont="1" applyBorder="1" applyAlignment="1">
      <alignment horizontal="center" vertical="center"/>
    </xf>
    <xf numFmtId="0" fontId="3" fillId="0" borderId="2" xfId="0" applyFont="1" applyBorder="1" applyAlignment="1">
      <alignment horizontal="center" vertical="center"/>
    </xf>
    <xf numFmtId="0" fontId="3" fillId="0" borderId="17" xfId="0" applyFont="1" applyBorder="1" applyAlignment="1">
      <alignment horizontal="center" vertical="center"/>
    </xf>
    <xf numFmtId="0" fontId="3" fillId="0" borderId="3" xfId="0" applyFont="1" applyBorder="1" applyAlignment="1">
      <alignment horizontal="center" vertical="center"/>
    </xf>
    <xf numFmtId="2" fontId="3" fillId="0" borderId="2" xfId="0" applyNumberFormat="1" applyFont="1" applyBorder="1" applyAlignment="1">
      <alignment horizontal="center" vertical="center"/>
    </xf>
    <xf numFmtId="2" fontId="3" fillId="0" borderId="3" xfId="0" applyNumberFormat="1" applyFont="1" applyBorder="1" applyAlignment="1">
      <alignment horizontal="center" vertical="center"/>
    </xf>
    <xf numFmtId="0" fontId="84" fillId="0" borderId="0" xfId="0" applyFont="1" applyBorder="1" applyAlignment="1" applyProtection="1">
      <alignment horizontal="left" vertical="center"/>
    </xf>
    <xf numFmtId="0" fontId="10" fillId="3" borderId="67" xfId="0" applyFont="1" applyFill="1" applyBorder="1" applyAlignment="1">
      <alignment horizontal="left" vertical="center"/>
    </xf>
    <xf numFmtId="0" fontId="10" fillId="3" borderId="18" xfId="0" applyFont="1" applyFill="1" applyBorder="1" applyAlignment="1">
      <alignment horizontal="left" vertical="center"/>
    </xf>
    <xf numFmtId="0" fontId="3" fillId="0" borderId="0" xfId="0" applyFont="1" applyBorder="1" applyAlignment="1">
      <alignment horizontal="right" vertical="center"/>
    </xf>
    <xf numFmtId="0" fontId="0" fillId="0" borderId="4" xfId="0" applyBorder="1" applyAlignment="1" applyProtection="1">
      <alignment horizontal="center" wrapText="1"/>
    </xf>
    <xf numFmtId="0" fontId="3" fillId="0" borderId="67" xfId="0" applyFont="1" applyBorder="1" applyAlignment="1">
      <alignment horizontal="left" vertical="center"/>
    </xf>
    <xf numFmtId="0" fontId="3" fillId="0" borderId="18" xfId="0" applyFont="1" applyBorder="1" applyAlignment="1">
      <alignment horizontal="left" vertical="center"/>
    </xf>
    <xf numFmtId="0" fontId="3" fillId="0" borderId="35" xfId="0" applyFont="1" applyBorder="1" applyAlignment="1">
      <alignment horizontal="left" vertical="center"/>
    </xf>
    <xf numFmtId="0" fontId="3" fillId="0" borderId="10" xfId="0" applyFont="1" applyBorder="1" applyAlignment="1">
      <alignment horizontal="left" vertical="center"/>
    </xf>
    <xf numFmtId="0" fontId="3" fillId="0" borderId="19" xfId="0" applyFont="1" applyBorder="1" applyAlignment="1">
      <alignment horizontal="left" vertical="center"/>
    </xf>
    <xf numFmtId="0" fontId="14" fillId="0" borderId="37" xfId="0" applyFont="1" applyBorder="1" applyAlignment="1">
      <alignment horizontal="left"/>
    </xf>
    <xf numFmtId="0" fontId="14" fillId="0" borderId="4" xfId="0" applyFont="1" applyBorder="1" applyAlignment="1">
      <alignment horizontal="left"/>
    </xf>
    <xf numFmtId="0" fontId="14" fillId="0" borderId="36" xfId="0" applyFont="1" applyBorder="1" applyAlignment="1">
      <alignment horizontal="left"/>
    </xf>
    <xf numFmtId="2" fontId="82" fillId="10" borderId="37" xfId="0" applyNumberFormat="1" applyFont="1" applyFill="1" applyBorder="1" applyAlignment="1">
      <alignment horizontal="center" vertical="center"/>
    </xf>
    <xf numFmtId="2" fontId="82" fillId="10" borderId="4" xfId="0" applyNumberFormat="1" applyFont="1" applyFill="1" applyBorder="1" applyAlignment="1">
      <alignment horizontal="center" vertical="center"/>
    </xf>
    <xf numFmtId="2" fontId="82" fillId="10" borderId="36" xfId="0" applyNumberFormat="1" applyFont="1" applyFill="1" applyBorder="1" applyAlignment="1">
      <alignment horizontal="center" vertical="center"/>
    </xf>
    <xf numFmtId="0" fontId="92" fillId="10" borderId="37" xfId="0" applyFont="1" applyFill="1" applyBorder="1" applyAlignment="1">
      <alignment horizontal="center" vertical="center" wrapText="1"/>
    </xf>
    <xf numFmtId="0" fontId="92" fillId="10" borderId="4" xfId="0" applyFont="1" applyFill="1" applyBorder="1" applyAlignment="1">
      <alignment horizontal="center" vertical="center" wrapText="1"/>
    </xf>
    <xf numFmtId="0" fontId="92" fillId="10" borderId="36" xfId="0" applyFont="1" applyFill="1" applyBorder="1" applyAlignment="1">
      <alignment horizontal="center" vertical="center" wrapText="1"/>
    </xf>
    <xf numFmtId="0" fontId="82" fillId="10" borderId="37" xfId="0" applyFont="1" applyFill="1" applyBorder="1" applyAlignment="1">
      <alignment horizontal="center" vertical="center" wrapText="1"/>
    </xf>
    <xf numFmtId="0" fontId="82" fillId="10" borderId="4" xfId="0" applyFont="1" applyFill="1" applyBorder="1" applyAlignment="1">
      <alignment horizontal="center" vertical="center" wrapText="1"/>
    </xf>
    <xf numFmtId="0" fontId="82" fillId="10" borderId="36" xfId="0" applyFont="1" applyFill="1" applyBorder="1" applyAlignment="1">
      <alignment horizontal="center" vertical="center" wrapText="1"/>
    </xf>
    <xf numFmtId="0" fontId="10" fillId="3" borderId="67" xfId="0" applyFont="1" applyFill="1" applyBorder="1" applyAlignment="1">
      <alignment horizontal="center" vertical="center"/>
    </xf>
    <xf numFmtId="0" fontId="10" fillId="3" borderId="0" xfId="0" applyFont="1" applyFill="1" applyAlignment="1">
      <alignment horizontal="center" vertical="center"/>
    </xf>
    <xf numFmtId="0" fontId="10" fillId="3" borderId="18" xfId="0" applyFont="1" applyFill="1" applyBorder="1" applyAlignment="1">
      <alignment horizontal="center" vertical="center"/>
    </xf>
    <xf numFmtId="2" fontId="82" fillId="10" borderId="67" xfId="0" applyNumberFormat="1" applyFont="1" applyFill="1" applyBorder="1" applyAlignment="1">
      <alignment horizontal="center"/>
    </xf>
    <xf numFmtId="2" fontId="82" fillId="10" borderId="0" xfId="0" applyNumberFormat="1" applyFont="1" applyFill="1" applyAlignment="1">
      <alignment horizontal="center"/>
    </xf>
    <xf numFmtId="2" fontId="82" fillId="10" borderId="18" xfId="0" applyNumberFormat="1" applyFont="1" applyFill="1" applyBorder="1" applyAlignment="1">
      <alignment horizontal="center"/>
    </xf>
    <xf numFmtId="0" fontId="3" fillId="0" borderId="67" xfId="0" applyFont="1" applyBorder="1" applyAlignment="1">
      <alignment horizontal="left" vertical="center" wrapText="1"/>
    </xf>
    <xf numFmtId="0" fontId="3" fillId="0" borderId="18" xfId="0" applyFont="1" applyBorder="1" applyAlignment="1">
      <alignment horizontal="left" vertical="center" wrapText="1"/>
    </xf>
    <xf numFmtId="2" fontId="3" fillId="0" borderId="67" xfId="0" applyNumberFormat="1" applyFont="1" applyBorder="1" applyAlignment="1">
      <alignment horizontal="center" vertical="center"/>
    </xf>
    <xf numFmtId="2" fontId="3" fillId="0" borderId="0" xfId="0" applyNumberFormat="1" applyFont="1" applyAlignment="1">
      <alignment horizontal="center" vertical="center"/>
    </xf>
    <xf numFmtId="0" fontId="6" fillId="0" borderId="67" xfId="0" applyFont="1" applyBorder="1" applyAlignment="1">
      <alignment horizontal="left"/>
    </xf>
    <xf numFmtId="0" fontId="6" fillId="0" borderId="0" xfId="0" applyFont="1" applyAlignment="1">
      <alignment horizontal="left"/>
    </xf>
    <xf numFmtId="0" fontId="6" fillId="0" borderId="18" xfId="0" applyFont="1" applyBorder="1" applyAlignment="1">
      <alignment horizontal="left"/>
    </xf>
    <xf numFmtId="0" fontId="3" fillId="0" borderId="67" xfId="0" applyFont="1" applyBorder="1" applyAlignment="1">
      <alignment horizontal="right"/>
    </xf>
    <xf numFmtId="0" fontId="3" fillId="0" borderId="0" xfId="0" applyFont="1" applyAlignment="1">
      <alignment horizontal="right"/>
    </xf>
    <xf numFmtId="0" fontId="3" fillId="0" borderId="18" xfId="0" applyFont="1" applyBorder="1" applyAlignment="1">
      <alignment horizontal="right"/>
    </xf>
    <xf numFmtId="2" fontId="3" fillId="0" borderId="1" xfId="0" applyNumberFormat="1" applyFont="1" applyBorder="1" applyAlignment="1">
      <alignment horizontal="center" vertical="center"/>
    </xf>
    <xf numFmtId="0" fontId="66" fillId="0" borderId="67" xfId="0" applyFont="1" applyBorder="1" applyAlignment="1">
      <alignment horizontal="left"/>
    </xf>
    <xf numFmtId="0" fontId="66" fillId="0" borderId="0" xfId="0" applyFont="1" applyAlignment="1">
      <alignment horizontal="left"/>
    </xf>
    <xf numFmtId="0" fontId="66" fillId="0" borderId="18" xfId="0" applyFont="1" applyBorder="1" applyAlignment="1">
      <alignment horizontal="left"/>
    </xf>
    <xf numFmtId="0" fontId="92" fillId="10" borderId="67" xfId="0" applyFont="1" applyFill="1" applyBorder="1" applyAlignment="1">
      <alignment horizontal="center" vertical="center" wrapText="1"/>
    </xf>
    <xf numFmtId="0" fontId="92" fillId="10" borderId="0" xfId="0" applyFont="1" applyFill="1" applyAlignment="1">
      <alignment horizontal="center" vertical="center" wrapText="1"/>
    </xf>
    <xf numFmtId="0" fontId="92" fillId="10" borderId="18" xfId="0" applyFont="1" applyFill="1" applyBorder="1" applyAlignment="1">
      <alignment horizontal="center" vertical="center" wrapText="1"/>
    </xf>
    <xf numFmtId="0" fontId="82" fillId="10" borderId="67" xfId="0" applyFont="1" applyFill="1" applyBorder="1" applyAlignment="1">
      <alignment horizontal="center" vertical="center" wrapText="1"/>
    </xf>
    <xf numFmtId="0" fontId="82" fillId="10" borderId="0" xfId="0" applyFont="1" applyFill="1" applyAlignment="1">
      <alignment horizontal="center" vertical="center" wrapText="1"/>
    </xf>
    <xf numFmtId="0" fontId="82" fillId="10" borderId="18" xfId="0" applyFont="1" applyFill="1" applyBorder="1" applyAlignment="1">
      <alignment horizontal="center" vertical="center" wrapText="1"/>
    </xf>
    <xf numFmtId="0" fontId="3" fillId="0" borderId="37" xfId="0" applyFont="1" applyBorder="1" applyAlignment="1">
      <alignment horizontal="right"/>
    </xf>
    <xf numFmtId="0" fontId="3" fillId="0" borderId="4" xfId="0" applyFont="1" applyBorder="1" applyAlignment="1">
      <alignment horizontal="right"/>
    </xf>
    <xf numFmtId="0" fontId="3" fillId="0" borderId="36" xfId="0" applyFont="1" applyBorder="1" applyAlignment="1">
      <alignment horizontal="right"/>
    </xf>
    <xf numFmtId="0" fontId="3" fillId="0" borderId="0" xfId="0" applyFont="1" applyAlignment="1">
      <alignment horizontal="center" vertical="center" wrapText="1"/>
    </xf>
    <xf numFmtId="0" fontId="3" fillId="0" borderId="10" xfId="0" applyFont="1" applyBorder="1" applyAlignment="1">
      <alignment horizontal="center" vertical="center" wrapText="1"/>
    </xf>
    <xf numFmtId="0" fontId="3" fillId="0" borderId="67" xfId="0" applyFont="1" applyBorder="1" applyAlignment="1">
      <alignment horizontal="center" vertical="center"/>
    </xf>
    <xf numFmtId="0" fontId="3" fillId="0" borderId="18" xfId="0" applyFont="1" applyBorder="1" applyAlignment="1">
      <alignment horizontal="center" vertical="center"/>
    </xf>
    <xf numFmtId="0" fontId="101" fillId="0" borderId="67" xfId="0" applyFont="1" applyBorder="1" applyAlignment="1">
      <alignment horizontal="left"/>
    </xf>
    <xf numFmtId="0" fontId="101" fillId="0" borderId="0" xfId="0" applyFont="1" applyAlignment="1">
      <alignment horizontal="left"/>
    </xf>
    <xf numFmtId="0" fontId="101" fillId="0" borderId="18" xfId="0" applyFont="1" applyBorder="1" applyAlignment="1">
      <alignment horizontal="left"/>
    </xf>
    <xf numFmtId="0" fontId="101" fillId="0" borderId="67" xfId="0" applyFont="1" applyBorder="1"/>
    <xf numFmtId="0" fontId="101" fillId="0" borderId="0" xfId="0" applyFont="1"/>
    <xf numFmtId="0" fontId="101" fillId="0" borderId="18" xfId="0" applyFont="1" applyBorder="1"/>
    <xf numFmtId="0" fontId="14" fillId="0" borderId="67" xfId="0" applyFont="1" applyBorder="1" applyAlignment="1">
      <alignment horizontal="left"/>
    </xf>
    <xf numFmtId="0" fontId="14" fillId="0" borderId="0" xfId="0" applyFont="1" applyAlignment="1">
      <alignment horizontal="left"/>
    </xf>
    <xf numFmtId="0" fontId="14" fillId="0" borderId="18" xfId="0" applyFont="1" applyBorder="1" applyAlignment="1">
      <alignment horizontal="left"/>
    </xf>
    <xf numFmtId="0" fontId="66" fillId="0" borderId="67" xfId="0" applyFont="1" applyBorder="1"/>
    <xf numFmtId="0" fontId="66" fillId="0" borderId="0" xfId="0" applyFont="1"/>
    <xf numFmtId="0" fontId="66" fillId="0" borderId="18" xfId="0" applyFont="1" applyBorder="1"/>
    <xf numFmtId="0" fontId="82" fillId="10" borderId="2" xfId="0" applyFont="1" applyFill="1" applyBorder="1" applyAlignment="1">
      <alignment horizontal="center" vertical="center"/>
    </xf>
    <xf numFmtId="0" fontId="82" fillId="10" borderId="17" xfId="0" applyFont="1" applyFill="1" applyBorder="1" applyAlignment="1">
      <alignment horizontal="center" vertical="center"/>
    </xf>
    <xf numFmtId="0" fontId="82" fillId="10" borderId="3" xfId="0" applyFont="1" applyFill="1" applyBorder="1" applyAlignment="1">
      <alignment horizontal="center" vertical="center"/>
    </xf>
    <xf numFmtId="0" fontId="82" fillId="10" borderId="67" xfId="0" applyFont="1" applyFill="1" applyBorder="1" applyAlignment="1">
      <alignment horizontal="center" wrapText="1"/>
    </xf>
    <xf numFmtId="0" fontId="82" fillId="10" borderId="0" xfId="0" applyFont="1" applyFill="1" applyAlignment="1">
      <alignment horizontal="center" wrapText="1"/>
    </xf>
    <xf numFmtId="0" fontId="82" fillId="10" borderId="77" xfId="0" applyFont="1" applyFill="1" applyBorder="1" applyAlignment="1">
      <alignment horizontal="center" wrapText="1"/>
    </xf>
    <xf numFmtId="0" fontId="12" fillId="0" borderId="116" xfId="0" applyFont="1" applyBorder="1" applyAlignment="1">
      <alignment horizontal="left" vertical="center"/>
    </xf>
    <xf numFmtId="0" fontId="12" fillId="0" borderId="4" xfId="0" applyFont="1" applyBorder="1" applyAlignment="1">
      <alignment horizontal="left" vertical="center"/>
    </xf>
    <xf numFmtId="0" fontId="12" fillId="0" borderId="36" xfId="0" applyFont="1" applyBorder="1" applyAlignment="1">
      <alignment horizontal="left" vertical="center"/>
    </xf>
    <xf numFmtId="0" fontId="92" fillId="10" borderId="37" xfId="0" applyFont="1" applyFill="1" applyBorder="1" applyAlignment="1">
      <alignment horizontal="center" vertical="center"/>
    </xf>
    <xf numFmtId="0" fontId="92" fillId="10" borderId="4" xfId="0" applyFont="1" applyFill="1" applyBorder="1" applyAlignment="1">
      <alignment horizontal="center" vertical="center"/>
    </xf>
    <xf numFmtId="0" fontId="92" fillId="10" borderId="36" xfId="0" applyFont="1" applyFill="1" applyBorder="1" applyAlignment="1">
      <alignment horizontal="center" vertical="center"/>
    </xf>
    <xf numFmtId="0" fontId="14" fillId="0" borderId="67" xfId="0" applyFont="1" applyBorder="1" applyAlignment="1">
      <alignment vertical="center"/>
    </xf>
    <xf numFmtId="0" fontId="14" fillId="0" borderId="0" xfId="0" applyFont="1" applyAlignment="1">
      <alignment vertical="center"/>
    </xf>
    <xf numFmtId="0" fontId="14" fillId="0" borderId="18" xfId="0" applyFont="1" applyBorder="1" applyAlignment="1">
      <alignment vertical="center"/>
    </xf>
    <xf numFmtId="0" fontId="3" fillId="0" borderId="67" xfId="0" applyFont="1" applyBorder="1" applyAlignment="1">
      <alignment horizontal="left" vertical="center" wrapText="1" indent="1"/>
    </xf>
    <xf numFmtId="0" fontId="3" fillId="0" borderId="0" xfId="0" applyFont="1" applyAlignment="1">
      <alignment horizontal="left" vertical="center" wrapText="1" indent="1"/>
    </xf>
    <xf numFmtId="0" fontId="3" fillId="0" borderId="18" xfId="0" applyFont="1" applyBorder="1" applyAlignment="1">
      <alignment horizontal="left" vertical="center" wrapText="1" indent="1"/>
    </xf>
    <xf numFmtId="0" fontId="3" fillId="0" borderId="35" xfId="0" applyFont="1" applyBorder="1" applyAlignment="1">
      <alignment horizontal="left" vertical="center" wrapText="1" indent="1"/>
    </xf>
    <xf numFmtId="0" fontId="3" fillId="0" borderId="10" xfId="0" applyFont="1" applyBorder="1" applyAlignment="1">
      <alignment horizontal="left" vertical="center" wrapText="1" indent="1"/>
    </xf>
    <xf numFmtId="0" fontId="3" fillId="0" borderId="19" xfId="0" applyFont="1" applyBorder="1" applyAlignment="1">
      <alignment horizontal="left" vertical="center" wrapText="1" indent="1"/>
    </xf>
    <xf numFmtId="0" fontId="66" fillId="0" borderId="35" xfId="0" applyFont="1" applyBorder="1" applyAlignment="1">
      <alignment horizontal="left" vertical="center"/>
    </xf>
    <xf numFmtId="0" fontId="66" fillId="0" borderId="10" xfId="0" applyFont="1" applyBorder="1" applyAlignment="1">
      <alignment horizontal="left" vertical="center"/>
    </xf>
    <xf numFmtId="0" fontId="66" fillId="0" borderId="19" xfId="0" applyFont="1" applyBorder="1" applyAlignment="1">
      <alignment horizontal="left" vertical="center"/>
    </xf>
    <xf numFmtId="0" fontId="82" fillId="10" borderId="117" xfId="0" applyFont="1" applyFill="1" applyBorder="1" applyAlignment="1">
      <alignment horizontal="center" vertical="center"/>
    </xf>
    <xf numFmtId="0" fontId="82" fillId="10" borderId="96" xfId="0" applyFont="1" applyFill="1" applyBorder="1" applyAlignment="1">
      <alignment horizontal="center" vertical="center"/>
    </xf>
    <xf numFmtId="0" fontId="3" fillId="0" borderId="79" xfId="0" applyFont="1" applyBorder="1" applyAlignment="1">
      <alignment horizontal="left" vertical="center"/>
    </xf>
    <xf numFmtId="0" fontId="3" fillId="0" borderId="76" xfId="0" applyFont="1" applyBorder="1" applyAlignment="1">
      <alignment horizontal="left" vertical="center"/>
    </xf>
    <xf numFmtId="0" fontId="83" fillId="0" borderId="76" xfId="0" applyFont="1" applyBorder="1" applyAlignment="1">
      <alignment horizontal="left" vertical="center"/>
    </xf>
    <xf numFmtId="0" fontId="83" fillId="0" borderId="0" xfId="0" applyFont="1" applyAlignment="1">
      <alignment horizontal="left" vertical="center"/>
    </xf>
    <xf numFmtId="0" fontId="83" fillId="0" borderId="18" xfId="0" applyFont="1" applyBorder="1" applyAlignment="1">
      <alignment horizontal="left" vertical="center"/>
    </xf>
    <xf numFmtId="0" fontId="82" fillId="10" borderId="1" xfId="0" applyFont="1" applyFill="1" applyBorder="1" applyAlignment="1">
      <alignment horizontal="center" vertical="center"/>
    </xf>
    <xf numFmtId="0" fontId="82" fillId="10" borderId="118" xfId="0" applyFont="1" applyFill="1" applyBorder="1" applyAlignment="1">
      <alignment horizontal="center" vertical="center" wrapText="1"/>
    </xf>
    <xf numFmtId="0" fontId="82" fillId="10" borderId="93" xfId="0" applyFont="1" applyFill="1" applyBorder="1" applyAlignment="1">
      <alignment horizontal="center" vertical="center" wrapText="1"/>
    </xf>
    <xf numFmtId="0" fontId="82" fillId="10" borderId="94" xfId="0" applyFont="1" applyFill="1" applyBorder="1" applyAlignment="1">
      <alignment horizontal="center" vertical="center" wrapText="1"/>
    </xf>
    <xf numFmtId="0" fontId="82" fillId="10" borderId="77" xfId="0" applyFont="1" applyFill="1" applyBorder="1" applyAlignment="1">
      <alignment horizontal="center" vertical="center" wrapText="1"/>
    </xf>
    <xf numFmtId="0" fontId="12" fillId="0" borderId="76" xfId="0" applyFont="1" applyBorder="1" applyAlignment="1">
      <alignment horizontal="left" vertical="center"/>
    </xf>
    <xf numFmtId="0" fontId="12" fillId="0" borderId="0" xfId="0" applyFont="1" applyAlignment="1">
      <alignment horizontal="left" vertical="center"/>
    </xf>
    <xf numFmtId="0" fontId="12" fillId="0" borderId="18" xfId="0" applyFont="1" applyBorder="1" applyAlignment="1">
      <alignment horizontal="left" vertical="center"/>
    </xf>
    <xf numFmtId="0" fontId="82" fillId="10" borderId="35" xfId="0" applyFont="1" applyFill="1" applyBorder="1" applyAlignment="1">
      <alignment horizontal="center" vertical="center"/>
    </xf>
    <xf numFmtId="0" fontId="82" fillId="10" borderId="10" xfId="0" applyFont="1" applyFill="1" applyBorder="1" applyAlignment="1">
      <alignment horizontal="center" vertical="center"/>
    </xf>
    <xf numFmtId="0" fontId="82" fillId="10" borderId="80" xfId="0" applyFont="1" applyFill="1" applyBorder="1" applyAlignment="1">
      <alignment horizontal="center" vertical="center"/>
    </xf>
    <xf numFmtId="0" fontId="12" fillId="0" borderId="79" xfId="0" applyFont="1" applyBorder="1" applyAlignment="1">
      <alignment horizontal="left" vertical="center"/>
    </xf>
    <xf numFmtId="0" fontId="12" fillId="0" borderId="10" xfId="0" applyFont="1" applyBorder="1" applyAlignment="1">
      <alignment horizontal="left" vertical="center"/>
    </xf>
    <xf numFmtId="0" fontId="12" fillId="0" borderId="19" xfId="0" applyFont="1" applyBorder="1" applyAlignment="1">
      <alignment horizontal="left" vertical="center"/>
    </xf>
    <xf numFmtId="0" fontId="3" fillId="0" borderId="17" xfId="0" applyFont="1" applyBorder="1" applyAlignment="1" applyProtection="1">
      <alignment horizontal="center" vertical="center"/>
      <protection locked="0"/>
    </xf>
    <xf numFmtId="1" fontId="6" fillId="0" borderId="0" xfId="0" applyNumberFormat="1" applyFont="1" applyAlignment="1" applyProtection="1">
      <alignment horizontal="center" vertical="center"/>
      <protection locked="0"/>
    </xf>
    <xf numFmtId="0" fontId="6" fillId="0" borderId="0" xfId="0" applyNumberFormat="1" applyFont="1" applyAlignment="1" applyProtection="1">
      <alignment horizontal="center" vertical="center"/>
    </xf>
    <xf numFmtId="0" fontId="10" fillId="3" borderId="5" xfId="0" applyFont="1" applyFill="1" applyBorder="1" applyAlignment="1" applyProtection="1">
      <alignment horizontal="center" vertical="center"/>
    </xf>
    <xf numFmtId="0" fontId="10" fillId="3" borderId="0" xfId="0" applyFont="1" applyFill="1" applyBorder="1" applyAlignment="1" applyProtection="1">
      <alignment horizontal="center" vertical="center"/>
    </xf>
    <xf numFmtId="0" fontId="10" fillId="3" borderId="6" xfId="0" applyFont="1" applyFill="1" applyBorder="1" applyAlignment="1" applyProtection="1">
      <alignment horizontal="center" vertical="center"/>
    </xf>
    <xf numFmtId="0" fontId="3" fillId="0" borderId="67" xfId="0" applyFont="1" applyBorder="1" applyAlignment="1" applyProtection="1">
      <alignment horizontal="center" vertical="center"/>
    </xf>
    <xf numFmtId="0" fontId="60" fillId="10" borderId="5" xfId="0" applyFont="1" applyFill="1" applyBorder="1" applyAlignment="1" applyProtection="1">
      <alignment horizontal="left"/>
    </xf>
    <xf numFmtId="0" fontId="60" fillId="10" borderId="0" xfId="0" applyFont="1" applyFill="1" applyAlignment="1" applyProtection="1">
      <alignment horizontal="left"/>
    </xf>
    <xf numFmtId="0" fontId="60" fillId="10" borderId="6" xfId="0" applyFont="1" applyFill="1" applyBorder="1" applyAlignment="1" applyProtection="1">
      <alignment horizontal="left"/>
    </xf>
    <xf numFmtId="166" fontId="3" fillId="0" borderId="1" xfId="0" applyNumberFormat="1" applyFont="1" applyBorder="1" applyAlignment="1" applyProtection="1">
      <alignment horizontal="center" vertical="center"/>
      <protection locked="0"/>
    </xf>
    <xf numFmtId="0" fontId="3" fillId="0" borderId="7" xfId="0" applyFont="1" applyBorder="1" applyAlignment="1" applyProtection="1">
      <alignment horizontal="center" vertical="center"/>
    </xf>
    <xf numFmtId="0" fontId="3" fillId="0" borderId="8" xfId="0" applyFont="1" applyBorder="1" applyAlignment="1" applyProtection="1">
      <alignment horizontal="center" vertical="center"/>
    </xf>
    <xf numFmtId="0" fontId="3" fillId="0" borderId="9" xfId="0" applyFont="1" applyBorder="1" applyAlignment="1" applyProtection="1">
      <alignment horizontal="center" vertical="center"/>
    </xf>
    <xf numFmtId="0" fontId="3" fillId="0" borderId="67" xfId="0" applyFont="1" applyBorder="1" applyAlignment="1" applyProtection="1">
      <alignment horizontal="right" vertical="center"/>
    </xf>
    <xf numFmtId="0" fontId="0" fillId="0" borderId="5" xfId="0" applyBorder="1" applyAlignment="1">
      <alignment horizontal="center"/>
    </xf>
    <xf numFmtId="0" fontId="0" fillId="0" borderId="0" xfId="0" applyBorder="1" applyAlignment="1">
      <alignment horizontal="center"/>
    </xf>
    <xf numFmtId="0" fontId="0" fillId="0" borderId="6" xfId="0" applyBorder="1" applyAlignment="1">
      <alignment horizontal="center"/>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center"/>
    </xf>
    <xf numFmtId="0" fontId="3" fillId="0" borderId="17"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2" fontId="3" fillId="0" borderId="2" xfId="0" applyNumberFormat="1" applyFont="1" applyBorder="1" applyAlignment="1" applyProtection="1">
      <alignment horizontal="center" vertical="center"/>
      <protection locked="0"/>
    </xf>
    <xf numFmtId="2" fontId="3" fillId="0" borderId="3" xfId="0" applyNumberFormat="1" applyFont="1" applyBorder="1" applyAlignment="1" applyProtection="1">
      <alignment horizontal="center" vertical="center"/>
      <protection locked="0"/>
    </xf>
    <xf numFmtId="2" fontId="3" fillId="0" borderId="2" xfId="0" applyNumberFormat="1" applyFont="1" applyBorder="1" applyAlignment="1" applyProtection="1">
      <alignment horizontal="center" vertical="center"/>
    </xf>
    <xf numFmtId="2" fontId="3" fillId="0" borderId="3" xfId="0" applyNumberFormat="1" applyFont="1" applyBorder="1" applyAlignment="1" applyProtection="1">
      <alignment horizontal="center" vertical="center"/>
    </xf>
    <xf numFmtId="0" fontId="31" fillId="0" borderId="0" xfId="0" applyFont="1" applyAlignment="1">
      <alignment horizontal="center" vertical="center"/>
    </xf>
    <xf numFmtId="0" fontId="0" fillId="0" borderId="67" xfId="0" applyBorder="1" applyAlignment="1">
      <alignment horizontal="center"/>
    </xf>
    <xf numFmtId="0" fontId="0" fillId="0" borderId="0" xfId="0" applyAlignment="1">
      <alignment horizontal="center"/>
    </xf>
    <xf numFmtId="0" fontId="66" fillId="0" borderId="67" xfId="0" applyFont="1" applyBorder="1" applyAlignment="1" applyProtection="1">
      <alignment horizontal="center" vertical="center"/>
    </xf>
    <xf numFmtId="0" fontId="66" fillId="0" borderId="0" xfId="0" applyFont="1" applyAlignment="1" applyProtection="1">
      <alignment horizontal="center" vertical="center"/>
    </xf>
    <xf numFmtId="0" fontId="3" fillId="0" borderId="18" xfId="0" applyFont="1" applyBorder="1" applyAlignment="1" applyProtection="1">
      <alignment horizontal="center" vertical="center"/>
    </xf>
    <xf numFmtId="166" fontId="3" fillId="0" borderId="2" xfId="0" applyNumberFormat="1" applyFont="1" applyBorder="1" applyAlignment="1" applyProtection="1">
      <alignment horizontal="center" vertical="center"/>
      <protection locked="0"/>
    </xf>
    <xf numFmtId="166" fontId="3" fillId="0" borderId="3" xfId="0" applyNumberFormat="1" applyFont="1" applyBorder="1" applyAlignment="1" applyProtection="1">
      <alignment horizontal="center" vertical="center"/>
      <protection locked="0"/>
    </xf>
    <xf numFmtId="0" fontId="66" fillId="0" borderId="0" xfId="0" applyFont="1" applyBorder="1" applyAlignment="1" applyProtection="1">
      <alignment horizontal="center" vertical="center"/>
    </xf>
    <xf numFmtId="0" fontId="66" fillId="0" borderId="18" xfId="0" applyFont="1" applyBorder="1" applyAlignment="1" applyProtection="1">
      <alignment horizontal="center" vertical="center"/>
    </xf>
    <xf numFmtId="0" fontId="3" fillId="0" borderId="0" xfId="0" applyFont="1" applyBorder="1" applyAlignment="1" applyProtection="1">
      <alignment horizontal="left" vertical="center"/>
    </xf>
    <xf numFmtId="0" fontId="3" fillId="0" borderId="37" xfId="0" applyFont="1" applyBorder="1" applyAlignment="1" applyProtection="1">
      <alignment horizontal="left" wrapText="1"/>
    </xf>
    <xf numFmtId="0" fontId="3" fillId="0" borderId="4" xfId="0" applyFont="1" applyBorder="1" applyAlignment="1" applyProtection="1">
      <alignment horizontal="left" wrapText="1"/>
    </xf>
    <xf numFmtId="0" fontId="3" fillId="0" borderId="36" xfId="0" applyFont="1" applyBorder="1" applyAlignment="1" applyProtection="1">
      <alignment horizontal="left" wrapText="1"/>
    </xf>
    <xf numFmtId="0" fontId="3" fillId="0" borderId="67" xfId="0" applyFont="1" applyBorder="1" applyAlignment="1" applyProtection="1">
      <alignment horizontal="left" vertical="top" wrapText="1"/>
      <protection locked="0"/>
    </xf>
    <xf numFmtId="0" fontId="3" fillId="0" borderId="18" xfId="0" applyFont="1" applyBorder="1" applyAlignment="1" applyProtection="1">
      <alignment horizontal="left" vertical="top" wrapText="1"/>
      <protection locked="0"/>
    </xf>
    <xf numFmtId="0" fontId="3" fillId="0" borderId="35" xfId="0" applyFont="1" applyBorder="1" applyAlignment="1" applyProtection="1">
      <alignment horizontal="left" vertical="top" wrapText="1"/>
      <protection locked="0"/>
    </xf>
    <xf numFmtId="0" fontId="3" fillId="0" borderId="19" xfId="0" applyFont="1" applyBorder="1" applyAlignment="1" applyProtection="1">
      <alignment horizontal="left" vertical="top" wrapText="1"/>
      <protection locked="0"/>
    </xf>
    <xf numFmtId="0" fontId="31" fillId="0" borderId="0" xfId="0" applyFont="1" applyBorder="1" applyAlignment="1">
      <alignment horizontal="center"/>
    </xf>
    <xf numFmtId="0" fontId="3" fillId="0" borderId="10" xfId="0" applyFont="1" applyBorder="1" applyAlignment="1" applyProtection="1">
      <alignment horizontal="left"/>
      <protection locked="0"/>
    </xf>
    <xf numFmtId="0" fontId="3" fillId="0" borderId="19" xfId="0" applyFont="1" applyBorder="1" applyAlignment="1" applyProtection="1">
      <alignment horizontal="left"/>
      <protection locked="0"/>
    </xf>
    <xf numFmtId="0" fontId="3" fillId="0" borderId="35" xfId="0" applyFont="1" applyBorder="1" applyAlignment="1" applyProtection="1">
      <alignment horizontal="left" vertical="center"/>
    </xf>
    <xf numFmtId="0" fontId="3" fillId="0" borderId="10" xfId="0" applyFont="1" applyBorder="1" applyAlignment="1" applyProtection="1">
      <alignment horizontal="left" vertical="center"/>
    </xf>
    <xf numFmtId="0" fontId="6" fillId="0" borderId="0" xfId="0" applyFont="1" applyBorder="1" applyAlignment="1" applyProtection="1">
      <alignment horizontal="center"/>
    </xf>
    <xf numFmtId="0" fontId="3" fillId="10" borderId="95" xfId="0" applyFont="1" applyFill="1" applyBorder="1" applyAlignment="1">
      <alignment horizontal="center" vertical="center" wrapText="1"/>
    </xf>
    <xf numFmtId="0" fontId="3" fillId="10" borderId="96" xfId="0" applyFont="1" applyFill="1" applyBorder="1" applyAlignment="1">
      <alignment horizontal="center" vertical="center" wrapText="1"/>
    </xf>
    <xf numFmtId="0" fontId="3" fillId="10" borderId="97" xfId="0" applyFont="1" applyFill="1" applyBorder="1" applyAlignment="1">
      <alignment horizontal="center" vertical="center" wrapText="1"/>
    </xf>
    <xf numFmtId="0" fontId="87" fillId="22" borderId="110" xfId="0" applyFont="1" applyFill="1" applyBorder="1" applyAlignment="1">
      <alignment horizontal="left"/>
    </xf>
    <xf numFmtId="0" fontId="87" fillId="22" borderId="111" xfId="0" applyFont="1" applyFill="1" applyBorder="1" applyAlignment="1">
      <alignment horizontal="left"/>
    </xf>
    <xf numFmtId="0" fontId="87" fillId="22" borderId="112" xfId="0" applyFont="1" applyFill="1" applyBorder="1" applyAlignment="1">
      <alignment horizontal="left"/>
    </xf>
    <xf numFmtId="0" fontId="88" fillId="22" borderId="113" xfId="0" applyFont="1" applyFill="1" applyBorder="1" applyAlignment="1">
      <alignment horizontal="left"/>
    </xf>
    <xf numFmtId="0" fontId="88" fillId="22" borderId="114" xfId="0" applyFont="1" applyFill="1" applyBorder="1" applyAlignment="1">
      <alignment horizontal="left"/>
    </xf>
    <xf numFmtId="0" fontId="88" fillId="22" borderId="115" xfId="0" applyFont="1" applyFill="1" applyBorder="1" applyAlignment="1">
      <alignment horizontal="left"/>
    </xf>
    <xf numFmtId="0" fontId="89" fillId="22" borderId="35" xfId="0" applyFont="1" applyFill="1" applyBorder="1" applyAlignment="1">
      <alignment horizontal="left"/>
    </xf>
    <xf numFmtId="0" fontId="89" fillId="22" borderId="10" xfId="0" applyFont="1" applyFill="1" applyBorder="1" applyAlignment="1">
      <alignment horizontal="left"/>
    </xf>
    <xf numFmtId="0" fontId="90" fillId="22" borderId="96" xfId="0" applyFont="1" applyFill="1" applyBorder="1" applyAlignment="1">
      <alignment horizontal="left"/>
    </xf>
    <xf numFmtId="0" fontId="90" fillId="22" borderId="97" xfId="0" applyFont="1" applyFill="1" applyBorder="1" applyAlignment="1">
      <alignment horizontal="left"/>
    </xf>
    <xf numFmtId="0" fontId="3" fillId="0" borderId="0" xfId="0" applyFont="1" applyAlignment="1" applyProtection="1">
      <alignment horizontal="center"/>
      <protection hidden="1"/>
    </xf>
    <xf numFmtId="0" fontId="82" fillId="10" borderId="76" xfId="0" applyFont="1" applyFill="1" applyBorder="1" applyAlignment="1">
      <alignment horizontal="left"/>
    </xf>
    <xf numFmtId="0" fontId="82" fillId="10" borderId="0" xfId="0" applyFont="1" applyFill="1" applyAlignment="1">
      <alignment horizontal="left"/>
    </xf>
    <xf numFmtId="0" fontId="82" fillId="10" borderId="77" xfId="0" applyFont="1" applyFill="1" applyBorder="1" applyAlignment="1">
      <alignment horizontal="left"/>
    </xf>
    <xf numFmtId="0" fontId="3" fillId="0" borderId="76" xfId="0" applyFont="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3" fillId="0" borderId="77" xfId="0" applyFont="1" applyBorder="1" applyAlignment="1" applyProtection="1">
      <alignment horizontal="center" vertical="center" wrapText="1"/>
      <protection locked="0"/>
    </xf>
    <xf numFmtId="0" fontId="3" fillId="0" borderId="92" xfId="0" applyFont="1" applyBorder="1" applyAlignment="1">
      <alignment horizontal="center" vertical="center"/>
    </xf>
    <xf numFmtId="0" fontId="3" fillId="0" borderId="93" xfId="0" applyFont="1" applyBorder="1" applyAlignment="1">
      <alignment horizontal="center" vertical="center"/>
    </xf>
    <xf numFmtId="0" fontId="3" fillId="0" borderId="94" xfId="0" applyFont="1" applyBorder="1" applyAlignment="1">
      <alignment horizontal="center" vertical="center"/>
    </xf>
    <xf numFmtId="0" fontId="3" fillId="0" borderId="76" xfId="0" applyFont="1" applyBorder="1" applyAlignment="1">
      <alignment horizontal="right" vertical="center"/>
    </xf>
    <xf numFmtId="172" fontId="3" fillId="0" borderId="0" xfId="0" applyNumberFormat="1" applyFont="1" applyAlignment="1" applyProtection="1">
      <alignment horizontal="center" vertical="center"/>
      <protection locked="0"/>
    </xf>
    <xf numFmtId="172" fontId="3" fillId="0" borderId="77" xfId="0" applyNumberFormat="1" applyFont="1" applyBorder="1" applyAlignment="1" applyProtection="1">
      <alignment horizontal="center" vertical="center"/>
      <protection locked="0"/>
    </xf>
    <xf numFmtId="0" fontId="3" fillId="0" borderId="95" xfId="0" applyFont="1" applyBorder="1" applyAlignment="1">
      <alignment horizontal="right" vertical="center"/>
    </xf>
    <xf numFmtId="0" fontId="3" fillId="0" borderId="96" xfId="0" applyFont="1" applyBorder="1" applyAlignment="1">
      <alignment horizontal="right" vertical="center"/>
    </xf>
    <xf numFmtId="0" fontId="3" fillId="0" borderId="96" xfId="0" applyFont="1" applyBorder="1" applyAlignment="1" applyProtection="1">
      <alignment horizontal="center" vertical="center"/>
      <protection locked="0"/>
    </xf>
    <xf numFmtId="0" fontId="3" fillId="0" borderId="97" xfId="0" applyFont="1" applyBorder="1" applyAlignment="1" applyProtection="1">
      <alignment horizontal="center" vertical="center"/>
      <protection locked="0"/>
    </xf>
    <xf numFmtId="0" fontId="3" fillId="0" borderId="76" xfId="0" applyFont="1" applyBorder="1" applyAlignment="1">
      <alignment horizontal="right"/>
    </xf>
    <xf numFmtId="0" fontId="3" fillId="0" borderId="76" xfId="0" applyFont="1" applyBorder="1" applyAlignment="1">
      <alignment horizontal="left" vertical="center" wrapText="1"/>
    </xf>
    <xf numFmtId="0" fontId="3" fillId="0" borderId="95" xfId="0" applyFont="1" applyBorder="1" applyAlignment="1">
      <alignment horizontal="left" vertical="center" wrapText="1"/>
    </xf>
    <xf numFmtId="0" fontId="3" fillId="0" borderId="96" xfId="0" applyFont="1" applyBorder="1" applyAlignment="1">
      <alignment horizontal="left" vertical="center" wrapText="1"/>
    </xf>
    <xf numFmtId="0" fontId="3" fillId="0" borderId="96" xfId="0" applyFont="1" applyBorder="1" applyAlignment="1">
      <alignment horizontal="right"/>
    </xf>
    <xf numFmtId="0" fontId="66" fillId="0" borderId="89" xfId="0" applyFont="1" applyBorder="1" applyAlignment="1">
      <alignment horizontal="left" vertical="center" wrapText="1"/>
    </xf>
    <xf numFmtId="0" fontId="66" fillId="0" borderId="90" xfId="0" applyFont="1" applyBorder="1" applyAlignment="1">
      <alignment horizontal="left" vertical="center" wrapText="1"/>
    </xf>
    <xf numFmtId="0" fontId="66" fillId="0" borderId="91" xfId="0" applyFont="1" applyBorder="1" applyAlignment="1">
      <alignment horizontal="left" vertical="center" wrapText="1"/>
    </xf>
    <xf numFmtId="0" fontId="3" fillId="0" borderId="89" xfId="0" applyFont="1" applyBorder="1" applyAlignment="1">
      <alignment horizontal="right"/>
    </xf>
    <xf numFmtId="0" fontId="3" fillId="0" borderId="90" xfId="0" applyFont="1" applyBorder="1" applyAlignment="1">
      <alignment horizontal="right"/>
    </xf>
    <xf numFmtId="1" fontId="3" fillId="0" borderId="90" xfId="0" applyNumberFormat="1" applyFont="1" applyBorder="1" applyAlignment="1">
      <alignment horizontal="center"/>
    </xf>
    <xf numFmtId="1" fontId="3" fillId="0" borderId="91" xfId="0" applyNumberFormat="1" applyFont="1" applyBorder="1" applyAlignment="1">
      <alignment horizontal="center"/>
    </xf>
    <xf numFmtId="0" fontId="82" fillId="10" borderId="89" xfId="0" applyFont="1" applyFill="1" applyBorder="1" applyAlignment="1">
      <alignment horizontal="left"/>
    </xf>
    <xf numFmtId="0" fontId="82" fillId="10" borderId="90" xfId="0" applyFont="1" applyFill="1" applyBorder="1" applyAlignment="1">
      <alignment horizontal="left"/>
    </xf>
    <xf numFmtId="0" fontId="82" fillId="10" borderId="91" xfId="0" applyFont="1" applyFill="1" applyBorder="1" applyAlignment="1">
      <alignment horizontal="left"/>
    </xf>
    <xf numFmtId="0" fontId="3" fillId="0" borderId="93" xfId="0" applyFont="1" applyBorder="1" applyAlignment="1">
      <alignment horizontal="right"/>
    </xf>
    <xf numFmtId="0" fontId="3" fillId="0" borderId="93" xfId="0" applyFont="1" applyBorder="1" applyAlignment="1">
      <alignment horizontal="right" vertical="center"/>
    </xf>
    <xf numFmtId="0" fontId="3" fillId="0" borderId="76" xfId="0" applyFont="1" applyBorder="1" applyAlignment="1">
      <alignment horizontal="left"/>
    </xf>
    <xf numFmtId="0" fontId="3" fillId="0" borderId="0" xfId="0" applyFont="1" applyAlignment="1">
      <alignment horizontal="left"/>
    </xf>
    <xf numFmtId="0" fontId="3" fillId="0" borderId="77" xfId="0" applyFont="1" applyBorder="1" applyAlignment="1">
      <alignment horizontal="left"/>
    </xf>
    <xf numFmtId="1" fontId="3" fillId="0" borderId="0" xfId="0" applyNumberFormat="1" applyFont="1" applyAlignment="1">
      <alignment horizontal="center"/>
    </xf>
    <xf numFmtId="1" fontId="3" fillId="0" borderId="0" xfId="0" applyNumberFormat="1" applyFont="1" applyAlignment="1" applyProtection="1">
      <alignment horizontal="center"/>
      <protection locked="0"/>
    </xf>
    <xf numFmtId="0" fontId="3" fillId="0" borderId="0" xfId="0" applyFont="1" applyAlignment="1" applyProtection="1">
      <alignment horizontal="center"/>
      <protection locked="0"/>
    </xf>
    <xf numFmtId="1" fontId="3" fillId="10" borderId="89" xfId="0" applyNumberFormat="1" applyFont="1" applyFill="1" applyBorder="1" applyAlignment="1">
      <alignment horizontal="center"/>
    </xf>
    <xf numFmtId="1" fontId="3" fillId="10" borderId="90" xfId="0" applyNumberFormat="1" applyFont="1" applyFill="1" applyBorder="1" applyAlignment="1">
      <alignment horizontal="center"/>
    </xf>
    <xf numFmtId="1" fontId="3" fillId="10" borderId="91" xfId="0" applyNumberFormat="1" applyFont="1" applyFill="1" applyBorder="1" applyAlignment="1">
      <alignment horizontal="center"/>
    </xf>
    <xf numFmtId="0" fontId="10" fillId="3" borderId="92" xfId="0" applyFont="1" applyFill="1" applyBorder="1" applyAlignment="1">
      <alignment horizontal="left"/>
    </xf>
    <xf numFmtId="0" fontId="10" fillId="3" borderId="93" xfId="0" applyFont="1" applyFill="1" applyBorder="1" applyAlignment="1">
      <alignment horizontal="left"/>
    </xf>
    <xf numFmtId="0" fontId="10" fillId="3" borderId="94" xfId="0" applyFont="1" applyFill="1" applyBorder="1" applyAlignment="1">
      <alignment horizontal="left"/>
    </xf>
    <xf numFmtId="0" fontId="82" fillId="10" borderId="92" xfId="0" applyFont="1" applyFill="1" applyBorder="1" applyAlignment="1">
      <alignment horizontal="left"/>
    </xf>
    <xf numFmtId="0" fontId="82" fillId="10" borderId="93" xfId="0" applyFont="1" applyFill="1" applyBorder="1" applyAlignment="1">
      <alignment horizontal="left"/>
    </xf>
    <xf numFmtId="0" fontId="82" fillId="10" borderId="94" xfId="0" applyFont="1" applyFill="1" applyBorder="1" applyAlignment="1">
      <alignment horizontal="left"/>
    </xf>
    <xf numFmtId="0" fontId="3" fillId="0" borderId="93" xfId="0" applyFont="1" applyBorder="1" applyAlignment="1">
      <alignment horizontal="center"/>
    </xf>
    <xf numFmtId="0" fontId="66" fillId="0" borderId="93" xfId="0" applyFont="1" applyBorder="1" applyAlignment="1">
      <alignment horizontal="center" vertical="center" wrapText="1"/>
    </xf>
    <xf numFmtId="0" fontId="95" fillId="0" borderId="93" xfId="0" applyFont="1" applyBorder="1" applyAlignment="1">
      <alignment horizontal="center" vertical="center" wrapText="1"/>
    </xf>
    <xf numFmtId="0" fontId="10" fillId="3" borderId="76" xfId="0" applyFont="1" applyFill="1" applyBorder="1" applyAlignment="1">
      <alignment horizontal="left"/>
    </xf>
    <xf numFmtId="0" fontId="10" fillId="3" borderId="0" xfId="0" applyFont="1" applyFill="1" applyAlignment="1">
      <alignment horizontal="left"/>
    </xf>
    <xf numFmtId="0" fontId="10" fillId="3" borderId="77" xfId="0" applyFont="1" applyFill="1" applyBorder="1" applyAlignment="1">
      <alignment horizontal="left"/>
    </xf>
    <xf numFmtId="0" fontId="3" fillId="0" borderId="96" xfId="0" applyFont="1" applyBorder="1" applyAlignment="1" applyProtection="1">
      <alignment horizontal="center" vertical="center"/>
    </xf>
    <xf numFmtId="1" fontId="3" fillId="0" borderId="96" xfId="0" applyNumberFormat="1" applyFont="1" applyBorder="1" applyAlignment="1" applyProtection="1">
      <alignment horizontal="center" vertical="center"/>
      <protection locked="0"/>
    </xf>
    <xf numFmtId="1" fontId="3" fillId="0" borderId="97" xfId="0" applyNumberFormat="1" applyFont="1" applyBorder="1" applyAlignment="1" applyProtection="1">
      <alignment horizontal="center" vertical="center"/>
      <protection locked="0"/>
    </xf>
    <xf numFmtId="171" fontId="3" fillId="0" borderId="0" xfId="6" applyNumberFormat="1" applyFont="1" applyBorder="1" applyAlignment="1" applyProtection="1">
      <alignment horizontal="center"/>
    </xf>
    <xf numFmtId="0" fontId="94" fillId="10" borderId="89" xfId="0" applyFont="1" applyFill="1" applyBorder="1" applyAlignment="1">
      <alignment horizontal="left" vertical="center" wrapText="1"/>
    </xf>
    <xf numFmtId="0" fontId="94" fillId="10" borderId="90" xfId="0" applyFont="1" applyFill="1" applyBorder="1" applyAlignment="1">
      <alignment horizontal="left" vertical="center" wrapText="1"/>
    </xf>
    <xf numFmtId="0" fontId="94" fillId="10" borderId="91" xfId="0" applyFont="1" applyFill="1" applyBorder="1" applyAlignment="1">
      <alignment horizontal="left" vertical="center" wrapText="1"/>
    </xf>
    <xf numFmtId="0" fontId="79" fillId="4" borderId="67" xfId="0" applyFont="1" applyFill="1" applyBorder="1" applyAlignment="1">
      <alignment horizontal="left"/>
    </xf>
    <xf numFmtId="0" fontId="79" fillId="4" borderId="0" xfId="0" applyFont="1" applyFill="1" applyAlignment="1">
      <alignment horizontal="left"/>
    </xf>
    <xf numFmtId="0" fontId="79" fillId="4" borderId="18" xfId="0" applyFont="1" applyFill="1" applyBorder="1" applyAlignment="1">
      <alignment horizontal="left"/>
    </xf>
    <xf numFmtId="0" fontId="3" fillId="0" borderId="90" xfId="0" applyFont="1" applyBorder="1" applyAlignment="1">
      <alignment horizontal="center"/>
    </xf>
    <xf numFmtId="0" fontId="3" fillId="0" borderId="91" xfId="0" applyFont="1" applyBorder="1" applyAlignment="1">
      <alignment horizontal="center"/>
    </xf>
    <xf numFmtId="0" fontId="3" fillId="10" borderId="107" xfId="0" applyFont="1" applyFill="1" applyBorder="1" applyAlignment="1">
      <alignment horizontal="center"/>
    </xf>
    <xf numFmtId="0" fontId="3" fillId="10" borderId="108" xfId="0" applyFont="1" applyFill="1" applyBorder="1" applyAlignment="1">
      <alignment horizontal="center"/>
    </xf>
    <xf numFmtId="0" fontId="3" fillId="10" borderId="109" xfId="0" applyFont="1" applyFill="1" applyBorder="1" applyAlignment="1">
      <alignment horizontal="center"/>
    </xf>
    <xf numFmtId="0" fontId="87" fillId="22" borderId="102" xfId="0" applyFont="1" applyFill="1" applyBorder="1" applyAlignment="1">
      <alignment horizontal="left"/>
    </xf>
    <xf numFmtId="0" fontId="87" fillId="22" borderId="103" xfId="0" applyFont="1" applyFill="1" applyBorder="1" applyAlignment="1">
      <alignment horizontal="left"/>
    </xf>
    <xf numFmtId="0" fontId="87" fillId="22" borderId="104" xfId="0" applyFont="1" applyFill="1" applyBorder="1" applyAlignment="1">
      <alignment horizontal="left"/>
    </xf>
    <xf numFmtId="0" fontId="88" fillId="22" borderId="105" xfId="0" applyFont="1" applyFill="1" applyBorder="1" applyAlignment="1">
      <alignment horizontal="left"/>
    </xf>
    <xf numFmtId="0" fontId="88" fillId="22" borderId="28" xfId="0" applyFont="1" applyFill="1" applyBorder="1" applyAlignment="1">
      <alignment horizontal="left"/>
    </xf>
    <xf numFmtId="0" fontId="88" fillId="22" borderId="106" xfId="0" applyFont="1" applyFill="1" applyBorder="1" applyAlignment="1">
      <alignment horizontal="left"/>
    </xf>
    <xf numFmtId="0" fontId="90" fillId="22" borderId="10" xfId="0" applyFont="1" applyFill="1" applyBorder="1" applyAlignment="1">
      <alignment horizontal="left"/>
    </xf>
    <xf numFmtId="0" fontId="90" fillId="22" borderId="19" xfId="0" applyFont="1" applyFill="1" applyBorder="1" applyAlignment="1">
      <alignment horizontal="left"/>
    </xf>
    <xf numFmtId="0" fontId="78" fillId="4" borderId="37" xfId="0" applyFont="1" applyFill="1" applyBorder="1" applyAlignment="1">
      <alignment horizontal="left"/>
    </xf>
    <xf numFmtId="0" fontId="78" fillId="4" borderId="4" xfId="0" applyFont="1" applyFill="1" applyBorder="1" applyAlignment="1">
      <alignment horizontal="left"/>
    </xf>
    <xf numFmtId="0" fontId="78" fillId="4" borderId="36" xfId="0" applyFont="1" applyFill="1" applyBorder="1" applyAlignment="1">
      <alignment horizontal="left"/>
    </xf>
    <xf numFmtId="0" fontId="3" fillId="0" borderId="0" xfId="0" applyFont="1" applyAlignment="1">
      <alignment horizontal="center"/>
    </xf>
    <xf numFmtId="0" fontId="3" fillId="0" borderId="77" xfId="0" applyFont="1" applyBorder="1" applyAlignment="1">
      <alignment horizontal="center"/>
    </xf>
    <xf numFmtId="0" fontId="3" fillId="0" borderId="95" xfId="0" applyFont="1" applyBorder="1" applyAlignment="1">
      <alignment horizontal="right"/>
    </xf>
    <xf numFmtId="0" fontId="3" fillId="0" borderId="96" xfId="0" applyFont="1" applyBorder="1" applyAlignment="1">
      <alignment horizontal="left"/>
    </xf>
    <xf numFmtId="0" fontId="3" fillId="0" borderId="92" xfId="0" applyFont="1" applyBorder="1" applyAlignment="1">
      <alignment horizontal="center"/>
    </xf>
    <xf numFmtId="0" fontId="3" fillId="0" borderId="94" xfId="0" applyFont="1" applyBorder="1" applyAlignment="1">
      <alignment horizontal="center"/>
    </xf>
    <xf numFmtId="0" fontId="3" fillId="0" borderId="76" xfId="0" applyFont="1" applyBorder="1" applyAlignment="1">
      <alignment horizontal="center"/>
    </xf>
    <xf numFmtId="0" fontId="3" fillId="0" borderId="95" xfId="0" applyFont="1" applyBorder="1" applyAlignment="1">
      <alignment horizontal="center"/>
    </xf>
    <xf numFmtId="0" fontId="3" fillId="0" borderId="96" xfId="0" applyFont="1" applyBorder="1" applyAlignment="1">
      <alignment horizontal="center"/>
    </xf>
    <xf numFmtId="0" fontId="3" fillId="0" borderId="97" xfId="0" applyFont="1" applyBorder="1" applyAlignment="1">
      <alignment horizontal="center"/>
    </xf>
    <xf numFmtId="0" fontId="0" fillId="0" borderId="92" xfId="0" applyBorder="1" applyAlignment="1">
      <alignment horizontal="center"/>
    </xf>
    <xf numFmtId="0" fontId="0" fillId="0" borderId="93" xfId="0" applyBorder="1" applyAlignment="1">
      <alignment horizontal="center"/>
    </xf>
    <xf numFmtId="0" fontId="0" fillId="0" borderId="94" xfId="0" applyBorder="1" applyAlignment="1">
      <alignment horizontal="center"/>
    </xf>
    <xf numFmtId="0" fontId="0" fillId="0" borderId="76" xfId="0" applyBorder="1" applyAlignment="1">
      <alignment horizontal="center"/>
    </xf>
    <xf numFmtId="0" fontId="0" fillId="0" borderId="77" xfId="0" applyBorder="1" applyAlignment="1">
      <alignment horizontal="center"/>
    </xf>
    <xf numFmtId="0" fontId="0" fillId="0" borderId="95" xfId="0" applyBorder="1" applyAlignment="1">
      <alignment horizontal="center"/>
    </xf>
    <xf numFmtId="0" fontId="0" fillId="0" borderId="96" xfId="0" applyBorder="1" applyAlignment="1">
      <alignment horizontal="center"/>
    </xf>
    <xf numFmtId="0" fontId="0" fillId="0" borderId="97" xfId="0" applyBorder="1" applyAlignment="1">
      <alignment horizontal="center"/>
    </xf>
    <xf numFmtId="0" fontId="92" fillId="10" borderId="76" xfId="0" applyFont="1" applyFill="1" applyBorder="1" applyAlignment="1">
      <alignment horizontal="center" vertical="center" wrapText="1"/>
    </xf>
    <xf numFmtId="0" fontId="92" fillId="10" borderId="77" xfId="0" applyFont="1" applyFill="1" applyBorder="1" applyAlignment="1">
      <alignment horizontal="center" vertical="center" wrapText="1"/>
    </xf>
    <xf numFmtId="0" fontId="3" fillId="0" borderId="76" xfId="0" applyFont="1" applyBorder="1" applyAlignment="1">
      <alignment horizontal="center" wrapText="1"/>
    </xf>
    <xf numFmtId="0" fontId="3" fillId="0" borderId="0" xfId="0" applyFont="1" applyAlignment="1">
      <alignment horizontal="center" wrapText="1"/>
    </xf>
    <xf numFmtId="0" fontId="3" fillId="0" borderId="77" xfId="0" applyFont="1" applyBorder="1" applyAlignment="1">
      <alignment horizontal="center" vertical="center"/>
    </xf>
    <xf numFmtId="0" fontId="3" fillId="0" borderId="77" xfId="0" applyFont="1" applyBorder="1" applyAlignment="1">
      <alignment horizontal="left" vertical="center" wrapText="1"/>
    </xf>
    <xf numFmtId="0" fontId="3" fillId="0" borderId="77" xfId="0" applyFont="1" applyBorder="1" applyAlignment="1">
      <alignment horizontal="left" vertical="center"/>
    </xf>
    <xf numFmtId="0" fontId="3" fillId="0" borderId="95" xfId="0" applyFont="1" applyBorder="1" applyAlignment="1">
      <alignment horizontal="left" vertical="center"/>
    </xf>
    <xf numFmtId="0" fontId="3" fillId="0" borderId="96" xfId="0" applyFont="1" applyBorder="1" applyAlignment="1">
      <alignment horizontal="left" vertical="center"/>
    </xf>
    <xf numFmtId="0" fontId="3" fillId="0" borderId="97" xfId="0" applyFont="1" applyBorder="1" applyAlignment="1">
      <alignment horizontal="left" vertical="center"/>
    </xf>
    <xf numFmtId="2" fontId="82" fillId="10" borderId="92" xfId="0" applyNumberFormat="1" applyFont="1" applyFill="1" applyBorder="1" applyAlignment="1">
      <alignment horizontal="center"/>
    </xf>
    <xf numFmtId="2" fontId="82" fillId="10" borderId="93" xfId="0" applyNumberFormat="1" applyFont="1" applyFill="1" applyBorder="1" applyAlignment="1">
      <alignment horizontal="center"/>
    </xf>
    <xf numFmtId="0" fontId="92" fillId="10" borderId="92" xfId="0" applyFont="1" applyFill="1" applyBorder="1" applyAlignment="1">
      <alignment horizontal="center" vertical="center" wrapText="1"/>
    </xf>
    <xf numFmtId="0" fontId="92" fillId="10" borderId="93" xfId="0" applyFont="1" applyFill="1" applyBorder="1" applyAlignment="1">
      <alignment horizontal="center" vertical="center" wrapText="1"/>
    </xf>
    <xf numFmtId="0" fontId="92" fillId="10" borderId="94" xfId="0" applyFont="1" applyFill="1" applyBorder="1" applyAlignment="1">
      <alignment horizontal="center" vertical="center" wrapText="1"/>
    </xf>
    <xf numFmtId="0" fontId="82" fillId="10" borderId="92" xfId="0" applyFont="1" applyFill="1" applyBorder="1" applyAlignment="1">
      <alignment horizontal="center" vertical="center" wrapText="1"/>
    </xf>
    <xf numFmtId="0" fontId="82" fillId="10" borderId="76" xfId="0" applyFont="1" applyFill="1" applyBorder="1" applyAlignment="1">
      <alignment horizontal="center" vertical="center" wrapText="1"/>
    </xf>
    <xf numFmtId="0" fontId="12" fillId="0" borderId="76" xfId="0" applyFont="1" applyBorder="1" applyAlignment="1">
      <alignment horizontal="right"/>
    </xf>
    <xf numFmtId="0" fontId="12" fillId="0" borderId="0" xfId="0" applyFont="1" applyAlignment="1">
      <alignment horizontal="right"/>
    </xf>
    <xf numFmtId="0" fontId="12" fillId="0" borderId="0" xfId="0" applyFont="1" applyAlignment="1">
      <alignment horizontal="left"/>
    </xf>
    <xf numFmtId="0" fontId="3" fillId="10" borderId="89" xfId="0" applyFont="1" applyFill="1" applyBorder="1" applyAlignment="1">
      <alignment horizontal="center"/>
    </xf>
    <xf numFmtId="0" fontId="3" fillId="10" borderId="90" xfId="0" applyFont="1" applyFill="1" applyBorder="1" applyAlignment="1">
      <alignment horizontal="center"/>
    </xf>
    <xf numFmtId="0" fontId="3" fillId="10" borderId="91" xfId="0" applyFont="1" applyFill="1" applyBorder="1" applyAlignment="1">
      <alignment horizontal="center"/>
    </xf>
    <xf numFmtId="0" fontId="91" fillId="10" borderId="92" xfId="0" applyFont="1" applyFill="1" applyBorder="1" applyAlignment="1">
      <alignment horizontal="center"/>
    </xf>
    <xf numFmtId="0" fontId="91" fillId="10" borderId="93" xfId="0" applyFont="1" applyFill="1" applyBorder="1" applyAlignment="1">
      <alignment horizontal="center"/>
    </xf>
    <xf numFmtId="0" fontId="91" fillId="10" borderId="94" xfId="0" applyFont="1" applyFill="1" applyBorder="1" applyAlignment="1">
      <alignment horizontal="center"/>
    </xf>
    <xf numFmtId="0" fontId="66" fillId="0" borderId="76" xfId="0" applyFont="1" applyBorder="1" applyAlignment="1">
      <alignment horizontal="left" vertical="center"/>
    </xf>
    <xf numFmtId="0" fontId="66" fillId="0" borderId="0" xfId="0" applyFont="1" applyAlignment="1">
      <alignment horizontal="left" vertical="center"/>
    </xf>
    <xf numFmtId="0" fontId="66" fillId="0" borderId="77" xfId="0" applyFont="1" applyBorder="1" applyAlignment="1">
      <alignment horizontal="left" vertical="center"/>
    </xf>
    <xf numFmtId="0" fontId="12" fillId="0" borderId="76" xfId="0" applyFont="1" applyBorder="1" applyAlignment="1" applyProtection="1">
      <alignment horizontal="center" vertical="center" wrapText="1"/>
      <protection locked="0"/>
    </xf>
    <xf numFmtId="0" fontId="12" fillId="0" borderId="0" xfId="0" applyFont="1" applyAlignment="1" applyProtection="1">
      <alignment horizontal="center" vertical="center" wrapText="1"/>
      <protection locked="0"/>
    </xf>
    <xf numFmtId="0" fontId="12" fillId="0" borderId="77" xfId="0" applyFont="1" applyBorder="1" applyAlignment="1" applyProtection="1">
      <alignment horizontal="center" vertical="center" wrapText="1"/>
      <protection locked="0"/>
    </xf>
    <xf numFmtId="0" fontId="12" fillId="0" borderId="95" xfId="0" applyFont="1" applyBorder="1" applyAlignment="1" applyProtection="1">
      <alignment horizontal="center" vertical="center" wrapText="1"/>
      <protection locked="0"/>
    </xf>
    <xf numFmtId="0" fontId="12" fillId="0" borderId="96" xfId="0" applyFont="1" applyBorder="1" applyAlignment="1" applyProtection="1">
      <alignment horizontal="center" vertical="center" wrapText="1"/>
      <protection locked="0"/>
    </xf>
    <xf numFmtId="0" fontId="12" fillId="0" borderId="97" xfId="0" applyFont="1" applyBorder="1" applyAlignment="1" applyProtection="1">
      <alignment horizontal="center" vertical="center" wrapText="1"/>
      <protection locked="0"/>
    </xf>
    <xf numFmtId="2" fontId="82" fillId="10" borderId="94" xfId="0" applyNumberFormat="1" applyFont="1" applyFill="1" applyBorder="1" applyAlignment="1">
      <alignment horizontal="center"/>
    </xf>
    <xf numFmtId="0" fontId="3" fillId="0" borderId="92" xfId="0" applyFont="1" applyBorder="1" applyAlignment="1">
      <alignment horizontal="left"/>
    </xf>
    <xf numFmtId="0" fontId="3" fillId="0" borderId="94" xfId="0" applyFont="1" applyBorder="1" applyAlignment="1">
      <alignment horizontal="left"/>
    </xf>
    <xf numFmtId="0" fontId="3" fillId="0" borderId="95" xfId="0" applyFont="1" applyBorder="1" applyAlignment="1">
      <alignment horizontal="left"/>
    </xf>
    <xf numFmtId="0" fontId="3" fillId="0" borderId="97" xfId="0" applyFont="1" applyBorder="1" applyAlignment="1">
      <alignment horizontal="left"/>
    </xf>
    <xf numFmtId="0" fontId="0" fillId="10" borderId="101" xfId="0" applyFill="1" applyBorder="1" applyAlignment="1">
      <alignment horizontal="center"/>
    </xf>
    <xf numFmtId="0" fontId="0" fillId="10" borderId="100" xfId="0" applyFill="1" applyBorder="1" applyAlignment="1">
      <alignment horizontal="center"/>
    </xf>
    <xf numFmtId="0" fontId="3" fillId="0" borderId="92" xfId="0" applyFont="1" applyBorder="1" applyAlignment="1">
      <alignment horizontal="right" wrapText="1"/>
    </xf>
    <xf numFmtId="0" fontId="3" fillId="0" borderId="94" xfId="0" applyFont="1" applyBorder="1" applyAlignment="1">
      <alignment horizontal="right" wrapText="1"/>
    </xf>
    <xf numFmtId="0" fontId="3" fillId="0" borderId="95" xfId="0" applyFont="1" applyBorder="1" applyAlignment="1">
      <alignment horizontal="right" wrapText="1"/>
    </xf>
    <xf numFmtId="0" fontId="3" fillId="0" borderId="77" xfId="0" applyFont="1" applyBorder="1" applyAlignment="1">
      <alignment horizontal="right" wrapText="1"/>
    </xf>
    <xf numFmtId="0" fontId="3" fillId="0" borderId="99" xfId="0" applyFont="1" applyBorder="1" applyAlignment="1">
      <alignment horizontal="center"/>
    </xf>
    <xf numFmtId="0" fontId="3" fillId="0" borderId="101" xfId="0" applyFont="1" applyBorder="1" applyAlignment="1">
      <alignment horizontal="center"/>
    </xf>
    <xf numFmtId="0" fontId="3" fillId="10" borderId="76" xfId="0" applyFont="1" applyFill="1" applyBorder="1" applyAlignment="1">
      <alignment horizontal="center"/>
    </xf>
    <xf numFmtId="0" fontId="3" fillId="10" borderId="96" xfId="0" applyFont="1" applyFill="1" applyBorder="1" applyAlignment="1">
      <alignment horizontal="center"/>
    </xf>
    <xf numFmtId="0" fontId="3" fillId="10" borderId="97" xfId="0" applyFont="1" applyFill="1" applyBorder="1" applyAlignment="1">
      <alignment horizontal="center"/>
    </xf>
    <xf numFmtId="0" fontId="3" fillId="0" borderId="77" xfId="0" applyFont="1" applyBorder="1" applyAlignment="1">
      <alignment horizontal="right"/>
    </xf>
    <xf numFmtId="0" fontId="3" fillId="0" borderId="97" xfId="0" applyFont="1" applyBorder="1" applyAlignment="1">
      <alignment horizontal="right"/>
    </xf>
    <xf numFmtId="0" fontId="3" fillId="0" borderId="92" xfId="0" applyFont="1" applyBorder="1" applyAlignment="1">
      <alignment horizontal="right"/>
    </xf>
    <xf numFmtId="0" fontId="3" fillId="0" borderId="93" xfId="0" applyFont="1" applyBorder="1" applyAlignment="1" applyProtection="1">
      <alignment horizontal="center" vertical="center"/>
      <protection locked="0"/>
    </xf>
    <xf numFmtId="0" fontId="3" fillId="0" borderId="94" xfId="0" applyFont="1" applyBorder="1" applyAlignment="1" applyProtection="1">
      <alignment horizontal="center" vertical="center"/>
      <protection locked="0"/>
    </xf>
    <xf numFmtId="0" fontId="85" fillId="0" borderId="76" xfId="0" applyFont="1" applyBorder="1" applyAlignment="1">
      <alignment horizontal="right"/>
    </xf>
    <xf numFmtId="0" fontId="85" fillId="0" borderId="0" xfId="0" applyFont="1" applyAlignment="1">
      <alignment horizontal="right"/>
    </xf>
    <xf numFmtId="0" fontId="85" fillId="0" borderId="77" xfId="0" applyFont="1" applyBorder="1" applyAlignment="1">
      <alignment horizontal="right"/>
    </xf>
    <xf numFmtId="0" fontId="82" fillId="10" borderId="89" xfId="0" applyFont="1" applyFill="1" applyBorder="1" applyAlignment="1">
      <alignment horizontal="left" vertical="center"/>
    </xf>
    <xf numFmtId="0" fontId="82" fillId="10" borderId="90" xfId="0" applyFont="1" applyFill="1" applyBorder="1" applyAlignment="1">
      <alignment horizontal="left" vertical="center"/>
    </xf>
    <xf numFmtId="0" fontId="82" fillId="10" borderId="91" xfId="0" applyFont="1" applyFill="1" applyBorder="1" applyAlignment="1">
      <alignment horizontal="left" vertical="center"/>
    </xf>
    <xf numFmtId="0" fontId="3" fillId="0" borderId="89" xfId="0" applyFont="1" applyBorder="1" applyAlignment="1">
      <alignment horizontal="center" vertical="center"/>
    </xf>
    <xf numFmtId="0" fontId="3" fillId="0" borderId="91" xfId="0" applyFont="1" applyBorder="1" applyAlignment="1">
      <alignment horizontal="center" vertical="center"/>
    </xf>
    <xf numFmtId="0" fontId="3" fillId="0" borderId="90" xfId="0" applyFont="1" applyBorder="1" applyAlignment="1">
      <alignment horizontal="center" vertical="center"/>
    </xf>
    <xf numFmtId="0" fontId="3" fillId="0" borderId="89" xfId="0" applyFont="1" applyBorder="1" applyAlignment="1">
      <alignment horizontal="left" vertical="center"/>
    </xf>
    <xf numFmtId="0" fontId="3" fillId="0" borderId="90" xfId="0" applyFont="1" applyBorder="1" applyAlignment="1">
      <alignment horizontal="left" vertical="center"/>
    </xf>
    <xf numFmtId="0" fontId="3" fillId="0" borderId="91" xfId="0" applyFont="1" applyBorder="1" applyAlignment="1">
      <alignment horizontal="left" vertical="center"/>
    </xf>
    <xf numFmtId="0" fontId="3" fillId="0" borderId="92" xfId="0" applyFont="1" applyBorder="1" applyAlignment="1" applyProtection="1">
      <alignment horizontal="center" vertical="center" wrapText="1"/>
      <protection locked="0"/>
    </xf>
    <xf numFmtId="0" fontId="3" fillId="0" borderId="93" xfId="0" applyFont="1" applyBorder="1" applyAlignment="1" applyProtection="1">
      <alignment horizontal="center" vertical="center" wrapText="1"/>
      <protection locked="0"/>
    </xf>
    <xf numFmtId="0" fontId="3" fillId="0" borderId="94" xfId="0" applyFont="1" applyBorder="1" applyAlignment="1" applyProtection="1">
      <alignment horizontal="center" vertical="center" wrapText="1"/>
      <protection locked="0"/>
    </xf>
    <xf numFmtId="0" fontId="3" fillId="0" borderId="95" xfId="0" applyFont="1" applyBorder="1" applyAlignment="1" applyProtection="1">
      <alignment horizontal="center" vertical="center" wrapText="1"/>
      <protection locked="0"/>
    </xf>
    <xf numFmtId="0" fontId="3" fillId="0" borderId="96" xfId="0" applyFont="1" applyBorder="1" applyAlignment="1" applyProtection="1">
      <alignment horizontal="center" vertical="center" wrapText="1"/>
      <protection locked="0"/>
    </xf>
    <xf numFmtId="0" fontId="3" fillId="0" borderId="97" xfId="0" applyFont="1" applyBorder="1" applyAlignment="1" applyProtection="1">
      <alignment horizontal="center" vertical="center" wrapText="1"/>
      <protection locked="0"/>
    </xf>
    <xf numFmtId="0" fontId="12" fillId="0" borderId="101" xfId="0" applyFont="1" applyBorder="1" applyAlignment="1" applyProtection="1">
      <alignment horizontal="center" vertical="center"/>
      <protection locked="0"/>
    </xf>
    <xf numFmtId="0" fontId="12" fillId="0" borderId="76" xfId="0" applyFont="1" applyBorder="1" applyAlignment="1">
      <alignment horizontal="left"/>
    </xf>
    <xf numFmtId="0" fontId="12" fillId="0" borderId="77" xfId="0" applyFont="1" applyBorder="1" applyAlignment="1">
      <alignment horizontal="left"/>
    </xf>
    <xf numFmtId="0" fontId="12" fillId="0" borderId="95" xfId="0" applyFont="1" applyBorder="1" applyAlignment="1">
      <alignment horizontal="left" vertical="center"/>
    </xf>
    <xf numFmtId="0" fontId="12" fillId="0" borderId="96" xfId="0" applyFont="1" applyBorder="1" applyAlignment="1">
      <alignment horizontal="left" vertical="center"/>
    </xf>
    <xf numFmtId="0" fontId="12" fillId="0" borderId="97" xfId="0" applyFont="1" applyBorder="1" applyAlignment="1">
      <alignment horizontal="left" vertical="center"/>
    </xf>
    <xf numFmtId="0" fontId="12" fillId="0" borderId="95" xfId="0" applyFont="1" applyBorder="1" applyAlignment="1">
      <alignment horizontal="right"/>
    </xf>
    <xf numFmtId="0" fontId="12" fillId="0" borderId="96" xfId="0" applyFont="1" applyBorder="1" applyAlignment="1">
      <alignment horizontal="right"/>
    </xf>
    <xf numFmtId="0" fontId="12" fillId="0" borderId="97" xfId="0" applyFont="1" applyBorder="1" applyAlignment="1">
      <alignment horizontal="right"/>
    </xf>
    <xf numFmtId="0" fontId="14" fillId="0" borderId="89" xfId="0" applyFont="1" applyBorder="1" applyAlignment="1">
      <alignment horizontal="center" vertical="center"/>
    </xf>
    <xf numFmtId="0" fontId="14" fillId="0" borderId="90" xfId="0" applyFont="1" applyBorder="1" applyAlignment="1">
      <alignment horizontal="center" vertical="center"/>
    </xf>
    <xf numFmtId="0" fontId="14" fillId="0" borderId="91" xfId="0" applyFont="1" applyBorder="1" applyAlignment="1">
      <alignment horizontal="center" vertical="center"/>
    </xf>
    <xf numFmtId="0" fontId="84" fillId="0" borderId="90" xfId="0" applyFont="1" applyBorder="1" applyAlignment="1">
      <alignment horizontal="center" vertical="center"/>
    </xf>
    <xf numFmtId="0" fontId="84" fillId="0" borderId="91" xfId="0" applyFont="1" applyBorder="1" applyAlignment="1">
      <alignment horizontal="center" vertical="center"/>
    </xf>
    <xf numFmtId="0" fontId="82" fillId="10" borderId="95" xfId="0" applyFont="1" applyFill="1" applyBorder="1" applyAlignment="1">
      <alignment horizontal="center" vertical="top" wrapText="1"/>
    </xf>
    <xf numFmtId="0" fontId="82" fillId="10" borderId="96" xfId="0" applyFont="1" applyFill="1" applyBorder="1" applyAlignment="1">
      <alignment horizontal="center" vertical="top" wrapText="1"/>
    </xf>
    <xf numFmtId="0" fontId="82" fillId="10" borderId="97" xfId="0" applyFont="1" applyFill="1" applyBorder="1" applyAlignment="1">
      <alignment horizontal="center" vertical="top" wrapText="1"/>
    </xf>
    <xf numFmtId="0" fontId="14" fillId="0" borderId="92" xfId="0" applyFont="1" applyBorder="1" applyAlignment="1">
      <alignment horizontal="center"/>
    </xf>
    <xf numFmtId="0" fontId="14" fillId="0" borderId="93" xfId="0" applyFont="1" applyBorder="1" applyAlignment="1">
      <alignment horizontal="center"/>
    </xf>
    <xf numFmtId="0" fontId="14" fillId="0" borderId="94" xfId="0" applyFont="1" applyBorder="1" applyAlignment="1">
      <alignment horizontal="center"/>
    </xf>
    <xf numFmtId="0" fontId="82" fillId="10" borderId="95" xfId="0" applyFont="1" applyFill="1" applyBorder="1" applyAlignment="1">
      <alignment horizontal="center" vertical="center" wrapText="1"/>
    </xf>
    <xf numFmtId="0" fontId="82" fillId="10" borderId="96" xfId="0" applyFont="1" applyFill="1" applyBorder="1" applyAlignment="1">
      <alignment horizontal="center" vertical="center" wrapText="1"/>
    </xf>
    <xf numFmtId="0" fontId="82" fillId="10" borderId="97" xfId="0" applyFont="1" applyFill="1" applyBorder="1" applyAlignment="1">
      <alignment horizontal="center" vertical="center" wrapText="1"/>
    </xf>
    <xf numFmtId="0" fontId="12" fillId="0" borderId="92" xfId="0" applyFont="1" applyBorder="1" applyAlignment="1">
      <alignment horizontal="right"/>
    </xf>
    <xf numFmtId="0" fontId="12" fillId="0" borderId="93" xfId="0" applyFont="1" applyBorder="1" applyAlignment="1">
      <alignment horizontal="right"/>
    </xf>
    <xf numFmtId="0" fontId="12" fillId="0" borderId="94" xfId="0" applyFont="1" applyBorder="1" applyAlignment="1">
      <alignment horizontal="right"/>
    </xf>
    <xf numFmtId="0" fontId="12" fillId="0" borderId="77" xfId="0" applyFont="1" applyBorder="1" applyAlignment="1">
      <alignment horizontal="right"/>
    </xf>
    <xf numFmtId="0" fontId="12" fillId="0" borderId="76" xfId="0" applyFont="1" applyBorder="1" applyAlignment="1">
      <alignment horizontal="right" vertical="center" wrapText="1"/>
    </xf>
    <xf numFmtId="0" fontId="12" fillId="0" borderId="0" xfId="0" applyFont="1" applyAlignment="1">
      <alignment horizontal="right" vertical="center" wrapText="1"/>
    </xf>
    <xf numFmtId="0" fontId="12" fillId="0" borderId="77" xfId="0" applyFont="1" applyBorder="1" applyAlignment="1">
      <alignment horizontal="right" vertical="center" wrapText="1"/>
    </xf>
    <xf numFmtId="0" fontId="82" fillId="10" borderId="95" xfId="0" applyFont="1" applyFill="1" applyBorder="1" applyAlignment="1">
      <alignment horizontal="center" vertical="top"/>
    </xf>
    <xf numFmtId="0" fontId="82" fillId="10" borderId="96" xfId="0" applyFont="1" applyFill="1" applyBorder="1" applyAlignment="1">
      <alignment horizontal="center" vertical="top"/>
    </xf>
    <xf numFmtId="0" fontId="82" fillId="10" borderId="97" xfId="0" applyFont="1" applyFill="1" applyBorder="1" applyAlignment="1">
      <alignment horizontal="center" vertical="top"/>
    </xf>
    <xf numFmtId="0" fontId="82" fillId="10" borderId="92" xfId="0" applyFont="1" applyFill="1" applyBorder="1" applyAlignment="1">
      <alignment horizontal="center" wrapText="1"/>
    </xf>
    <xf numFmtId="0" fontId="82" fillId="10" borderId="93" xfId="0" applyFont="1" applyFill="1" applyBorder="1" applyAlignment="1">
      <alignment horizontal="center" wrapText="1"/>
    </xf>
    <xf numFmtId="0" fontId="82" fillId="10" borderId="94" xfId="0" applyFont="1" applyFill="1" applyBorder="1" applyAlignment="1">
      <alignment horizontal="center" wrapText="1"/>
    </xf>
    <xf numFmtId="0" fontId="82" fillId="10" borderId="76" xfId="0" applyFont="1" applyFill="1" applyBorder="1" applyAlignment="1">
      <alignment horizontal="center" wrapText="1"/>
    </xf>
    <xf numFmtId="0" fontId="12" fillId="0" borderId="95" xfId="0" applyFont="1" applyBorder="1" applyAlignment="1">
      <alignment horizontal="left"/>
    </xf>
    <xf numFmtId="0" fontId="12" fillId="0" borderId="96" xfId="0" applyFont="1" applyBorder="1" applyAlignment="1">
      <alignment horizontal="left"/>
    </xf>
    <xf numFmtId="0" fontId="12" fillId="0" borderId="97" xfId="0" applyFont="1" applyBorder="1" applyAlignment="1">
      <alignment horizontal="left"/>
    </xf>
    <xf numFmtId="0" fontId="3" fillId="0" borderId="94" xfId="0" applyFont="1" applyBorder="1" applyAlignment="1">
      <alignment horizontal="right"/>
    </xf>
    <xf numFmtId="0" fontId="83" fillId="0" borderId="76" xfId="0" applyFont="1" applyBorder="1" applyAlignment="1">
      <alignment horizontal="right"/>
    </xf>
    <xf numFmtId="0" fontId="83" fillId="0" borderId="0" xfId="0" applyFont="1" applyAlignment="1">
      <alignment horizontal="right"/>
    </xf>
    <xf numFmtId="0" fontId="83" fillId="0" borderId="77" xfId="0" applyFont="1" applyBorder="1" applyAlignment="1">
      <alignment horizontal="right"/>
    </xf>
    <xf numFmtId="0" fontId="6" fillId="0" borderId="92" xfId="0" applyFont="1" applyBorder="1" applyAlignment="1">
      <alignment horizontal="center"/>
    </xf>
    <xf numFmtId="0" fontId="6" fillId="0" borderId="93" xfId="0" applyFont="1" applyBorder="1" applyAlignment="1">
      <alignment horizontal="center"/>
    </xf>
    <xf numFmtId="0" fontId="6" fillId="0" borderId="94" xfId="0" applyFont="1" applyBorder="1" applyAlignment="1">
      <alignment horizontal="center"/>
    </xf>
    <xf numFmtId="0" fontId="10" fillId="3" borderId="89" xfId="0" applyFont="1" applyFill="1" applyBorder="1" applyAlignment="1">
      <alignment horizontal="left"/>
    </xf>
    <xf numFmtId="0" fontId="10" fillId="3" borderId="90" xfId="0" applyFont="1" applyFill="1" applyBorder="1" applyAlignment="1">
      <alignment horizontal="left"/>
    </xf>
    <xf numFmtId="0" fontId="10" fillId="3" borderId="91" xfId="0" applyFont="1" applyFill="1" applyBorder="1" applyAlignment="1">
      <alignment horizontal="left"/>
    </xf>
    <xf numFmtId="0" fontId="82" fillId="10" borderId="89" xfId="0" applyFont="1" applyFill="1" applyBorder="1" applyAlignment="1">
      <alignment horizontal="center" wrapText="1"/>
    </xf>
    <xf numFmtId="0" fontId="82" fillId="10" borderId="90" xfId="0" applyFont="1" applyFill="1" applyBorder="1" applyAlignment="1">
      <alignment horizontal="center" wrapText="1"/>
    </xf>
    <xf numFmtId="0" fontId="82" fillId="10" borderId="91" xfId="0" applyFont="1" applyFill="1" applyBorder="1" applyAlignment="1">
      <alignment horizontal="center" wrapText="1"/>
    </xf>
    <xf numFmtId="0" fontId="82" fillId="10" borderId="89" xfId="0" applyFont="1" applyFill="1" applyBorder="1" applyAlignment="1">
      <alignment horizontal="center"/>
    </xf>
    <xf numFmtId="0" fontId="82" fillId="10" borderId="90" xfId="0" applyFont="1" applyFill="1" applyBorder="1" applyAlignment="1">
      <alignment horizontal="center"/>
    </xf>
    <xf numFmtId="0" fontId="82" fillId="10" borderId="91" xfId="0" applyFont="1" applyFill="1" applyBorder="1" applyAlignment="1">
      <alignment horizontal="center"/>
    </xf>
    <xf numFmtId="2" fontId="82" fillId="10" borderId="89" xfId="0" applyNumberFormat="1" applyFont="1" applyFill="1" applyBorder="1" applyAlignment="1">
      <alignment horizontal="center" wrapText="1"/>
    </xf>
    <xf numFmtId="2" fontId="82" fillId="10" borderId="90" xfId="0" applyNumberFormat="1" applyFont="1" applyFill="1" applyBorder="1" applyAlignment="1">
      <alignment horizontal="center" wrapText="1"/>
    </xf>
    <xf numFmtId="2" fontId="82" fillId="10" borderId="91" xfId="0" applyNumberFormat="1" applyFont="1" applyFill="1" applyBorder="1" applyAlignment="1">
      <alignment horizontal="center" wrapText="1"/>
    </xf>
    <xf numFmtId="0" fontId="3" fillId="0" borderId="0" xfId="0" applyFont="1" applyAlignment="1" applyProtection="1">
      <alignment horizontal="center" vertical="center"/>
      <protection locked="0"/>
    </xf>
    <xf numFmtId="0" fontId="3" fillId="0" borderId="77" xfId="0" applyFont="1" applyBorder="1" applyAlignment="1" applyProtection="1">
      <alignment horizontal="center" vertical="center"/>
      <protection locked="0"/>
    </xf>
    <xf numFmtId="0" fontId="12" fillId="0" borderId="95" xfId="0" applyFont="1" applyBorder="1" applyAlignment="1">
      <alignment horizontal="right" vertical="center"/>
    </xf>
    <xf numFmtId="0" fontId="12" fillId="0" borderId="96" xfId="0" applyFont="1" applyBorder="1" applyAlignment="1">
      <alignment horizontal="right" vertical="center"/>
    </xf>
    <xf numFmtId="0" fontId="65" fillId="4" borderId="37" xfId="0" applyFont="1" applyFill="1" applyBorder="1" applyAlignment="1">
      <alignment horizontal="left"/>
    </xf>
    <xf numFmtId="0" fontId="65" fillId="4" borderId="4" xfId="0" applyFont="1" applyFill="1" applyBorder="1" applyAlignment="1">
      <alignment horizontal="left"/>
    </xf>
    <xf numFmtId="0" fontId="65" fillId="4" borderId="36" xfId="0" applyFont="1" applyFill="1" applyBorder="1" applyAlignment="1">
      <alignment horizontal="left"/>
    </xf>
    <xf numFmtId="0" fontId="4" fillId="4" borderId="67" xfId="0" applyFont="1" applyFill="1" applyBorder="1" applyAlignment="1">
      <alignment horizontal="left"/>
    </xf>
    <xf numFmtId="0" fontId="4" fillId="4" borderId="0" xfId="0" applyFont="1" applyFill="1" applyBorder="1" applyAlignment="1">
      <alignment horizontal="left"/>
    </xf>
    <xf numFmtId="0" fontId="4" fillId="4" borderId="18" xfId="0" applyFont="1" applyFill="1" applyBorder="1" applyAlignment="1">
      <alignment horizontal="left"/>
    </xf>
    <xf numFmtId="0" fontId="77" fillId="0" borderId="95" xfId="0" applyFont="1" applyBorder="1" applyAlignment="1">
      <alignment horizontal="left"/>
    </xf>
    <xf numFmtId="0" fontId="77" fillId="0" borderId="96" xfId="0" applyFont="1" applyBorder="1" applyAlignment="1">
      <alignment horizontal="left"/>
    </xf>
    <xf numFmtId="0" fontId="77" fillId="0" borderId="97" xfId="0" applyFont="1" applyBorder="1" applyAlignment="1">
      <alignment horizontal="left"/>
    </xf>
    <xf numFmtId="0" fontId="3" fillId="0" borderId="76" xfId="0" applyFont="1" applyBorder="1" applyAlignment="1">
      <alignment horizontal="right" vertical="center" wrapText="1"/>
    </xf>
    <xf numFmtId="0" fontId="3" fillId="0" borderId="0" xfId="0" applyFont="1" applyBorder="1" applyAlignment="1">
      <alignment horizontal="right" vertical="center" wrapText="1"/>
    </xf>
    <xf numFmtId="0" fontId="3" fillId="0" borderId="0" xfId="0" applyFont="1" applyAlignment="1">
      <alignment horizontal="center" vertical="center"/>
    </xf>
    <xf numFmtId="14" fontId="3" fillId="0" borderId="0" xfId="0" applyNumberFormat="1" applyFont="1" applyAlignment="1" applyProtection="1">
      <alignment horizontal="center" vertical="center"/>
      <protection locked="0"/>
    </xf>
    <xf numFmtId="0" fontId="80" fillId="0" borderId="0" xfId="0" applyFont="1" applyAlignment="1">
      <alignment horizontal="center" vertical="center"/>
    </xf>
    <xf numFmtId="14" fontId="3" fillId="0" borderId="77" xfId="0" applyNumberFormat="1" applyFont="1" applyBorder="1" applyAlignment="1" applyProtection="1">
      <alignment horizontal="center" vertical="center"/>
      <protection locked="0"/>
    </xf>
    <xf numFmtId="0" fontId="12" fillId="0" borderId="0" xfId="0" applyFont="1" applyAlignment="1" applyProtection="1">
      <alignment horizontal="center" vertical="center"/>
    </xf>
    <xf numFmtId="14" fontId="3" fillId="0" borderId="0" xfId="0" applyNumberFormat="1" applyFont="1" applyAlignment="1">
      <alignment horizontal="right" vertical="center"/>
    </xf>
    <xf numFmtId="0" fontId="3" fillId="0" borderId="77" xfId="0" applyFont="1" applyBorder="1" applyAlignment="1" applyProtection="1">
      <alignment horizontal="center" vertical="center"/>
    </xf>
    <xf numFmtId="0" fontId="0" fillId="4" borderId="8" xfId="0" applyFill="1" applyBorder="1" applyAlignment="1">
      <alignment horizontal="center"/>
    </xf>
    <xf numFmtId="0" fontId="21" fillId="3" borderId="27" xfId="12" applyFont="1" applyFill="1" applyBorder="1" applyAlignment="1">
      <alignment horizontal="left" vertical="center" wrapText="1"/>
    </xf>
    <xf numFmtId="0" fontId="21" fillId="3" borderId="28" xfId="12" applyFont="1" applyFill="1" applyBorder="1" applyAlignment="1">
      <alignment horizontal="left" vertical="center" wrapText="1"/>
    </xf>
    <xf numFmtId="0" fontId="21" fillId="3" borderId="32" xfId="12" applyFont="1" applyFill="1" applyBorder="1" applyAlignment="1">
      <alignment horizontal="left" vertical="center" wrapText="1"/>
    </xf>
    <xf numFmtId="0" fontId="31" fillId="4" borderId="7" xfId="0" applyFont="1" applyFill="1" applyBorder="1" applyAlignment="1">
      <alignment horizontal="right" vertical="center"/>
    </xf>
    <xf numFmtId="0" fontId="31" fillId="4" borderId="8" xfId="0" applyFont="1" applyFill="1" applyBorder="1" applyAlignment="1">
      <alignment horizontal="right" vertical="center"/>
    </xf>
    <xf numFmtId="0" fontId="31" fillId="4" borderId="8" xfId="0" applyFont="1" applyFill="1" applyBorder="1" applyAlignment="1" applyProtection="1">
      <alignment horizontal="center" vertical="center"/>
      <protection locked="0"/>
    </xf>
    <xf numFmtId="173" fontId="31" fillId="4" borderId="8" xfId="0" applyNumberFormat="1" applyFont="1" applyFill="1" applyBorder="1" applyAlignment="1" applyProtection="1">
      <alignment horizontal="center" vertical="center"/>
      <protection locked="0"/>
    </xf>
    <xf numFmtId="173" fontId="31" fillId="4" borderId="9" xfId="0" applyNumberFormat="1" applyFont="1" applyFill="1" applyBorder="1" applyAlignment="1" applyProtection="1">
      <alignment horizontal="center" vertical="center"/>
      <protection locked="0"/>
    </xf>
    <xf numFmtId="3" fontId="31" fillId="4" borderId="0" xfId="0" applyNumberFormat="1" applyFont="1" applyFill="1" applyBorder="1" applyAlignment="1">
      <alignment horizontal="center" vertical="center" wrapText="1"/>
    </xf>
    <xf numFmtId="3" fontId="31" fillId="4" borderId="9" xfId="0" applyNumberFormat="1" applyFont="1" applyFill="1" applyBorder="1" applyAlignment="1">
      <alignment horizontal="center" vertical="center" wrapText="1"/>
    </xf>
    <xf numFmtId="2" fontId="31" fillId="4" borderId="8" xfId="0" applyNumberFormat="1" applyFont="1" applyFill="1" applyBorder="1" applyAlignment="1" applyProtection="1">
      <alignment horizontal="center" vertical="center"/>
      <protection locked="0"/>
    </xf>
    <xf numFmtId="0" fontId="8" fillId="4" borderId="0" xfId="0" applyFont="1" applyFill="1" applyBorder="1" applyAlignment="1">
      <alignment horizontal="center" vertical="center"/>
    </xf>
    <xf numFmtId="0" fontId="3" fillId="4" borderId="5" xfId="0" applyFont="1" applyFill="1" applyBorder="1" applyAlignment="1">
      <alignment horizontal="right" vertical="center" wrapText="1"/>
    </xf>
    <xf numFmtId="0" fontId="3" fillId="4" borderId="0" xfId="0" applyFont="1" applyFill="1" applyBorder="1" applyAlignment="1">
      <alignment horizontal="right" vertical="center" wrapText="1"/>
    </xf>
    <xf numFmtId="0" fontId="31" fillId="4" borderId="0" xfId="0" applyFont="1" applyFill="1" applyBorder="1" applyAlignment="1" applyProtection="1">
      <alignment horizontal="center" vertical="center"/>
      <protection locked="0"/>
    </xf>
    <xf numFmtId="0" fontId="3" fillId="4" borderId="0" xfId="0" applyFont="1" applyFill="1" applyBorder="1" applyAlignment="1">
      <alignment horizontal="right" vertical="center"/>
    </xf>
    <xf numFmtId="166" fontId="31" fillId="4" borderId="0" xfId="0" applyNumberFormat="1" applyFont="1" applyFill="1" applyBorder="1" applyAlignment="1" applyProtection="1">
      <alignment horizontal="center" vertical="center"/>
      <protection locked="0"/>
    </xf>
    <xf numFmtId="2" fontId="3" fillId="4" borderId="0" xfId="0" applyNumberFormat="1" applyFont="1" applyFill="1" applyBorder="1" applyAlignment="1">
      <alignment horizontal="right" vertical="center"/>
    </xf>
    <xf numFmtId="3" fontId="31" fillId="4" borderId="0" xfId="0" applyNumberFormat="1" applyFont="1" applyFill="1" applyBorder="1" applyAlignment="1" applyProtection="1">
      <alignment horizontal="center" vertical="center" wrapText="1"/>
      <protection locked="0"/>
    </xf>
    <xf numFmtId="0" fontId="31" fillId="4" borderId="8" xfId="0" applyFont="1" applyFill="1" applyBorder="1" applyAlignment="1" applyProtection="1">
      <alignment horizontal="right" vertical="center"/>
    </xf>
    <xf numFmtId="1" fontId="31" fillId="4" borderId="8" xfId="0" applyNumberFormat="1" applyFont="1" applyFill="1" applyBorder="1" applyAlignment="1" applyProtection="1">
      <alignment horizontal="center" vertical="center"/>
      <protection locked="0"/>
    </xf>
    <xf numFmtId="0" fontId="31" fillId="0" borderId="8" xfId="0" applyFont="1" applyBorder="1" applyAlignment="1" applyProtection="1">
      <alignment horizontal="center" vertical="center"/>
    </xf>
    <xf numFmtId="0" fontId="31" fillId="0" borderId="9" xfId="0" applyFont="1" applyBorder="1" applyAlignment="1" applyProtection="1">
      <alignment horizontal="center" vertical="center"/>
    </xf>
    <xf numFmtId="0" fontId="22" fillId="4" borderId="7" xfId="0" applyFont="1" applyFill="1" applyBorder="1" applyAlignment="1">
      <alignment horizontal="left"/>
    </xf>
    <xf numFmtId="0" fontId="22" fillId="4" borderId="8" xfId="0" applyFont="1" applyFill="1" applyBorder="1" applyAlignment="1">
      <alignment horizontal="left"/>
    </xf>
    <xf numFmtId="8" fontId="109" fillId="4" borderId="0" xfId="7" applyNumberFormat="1" applyFont="1" applyFill="1" applyBorder="1" applyAlignment="1" applyProtection="1">
      <alignment horizontal="center"/>
    </xf>
    <xf numFmtId="0" fontId="24" fillId="4" borderId="39" xfId="12" applyFont="1" applyFill="1" applyBorder="1" applyAlignment="1">
      <alignment horizontal="center" vertical="center"/>
    </xf>
    <xf numFmtId="0" fontId="24" fillId="4" borderId="20" xfId="12" applyFont="1" applyFill="1" applyBorder="1" applyAlignment="1">
      <alignment horizontal="center" vertical="center"/>
    </xf>
    <xf numFmtId="14" fontId="45" fillId="4" borderId="17" xfId="4" applyNumberFormat="1" applyFont="1" applyFill="1" applyBorder="1" applyAlignment="1">
      <alignment horizontal="center" vertical="center"/>
    </xf>
    <xf numFmtId="14" fontId="45" fillId="4" borderId="17" xfId="4" applyNumberFormat="1" applyFont="1" applyFill="1" applyBorder="1" applyAlignment="1" applyProtection="1">
      <alignment horizontal="center" vertical="center" wrapText="1"/>
      <protection locked="0"/>
    </xf>
    <xf numFmtId="14" fontId="45" fillId="4" borderId="22" xfId="4" applyNumberFormat="1" applyFont="1" applyFill="1" applyBorder="1" applyAlignment="1" applyProtection="1">
      <alignment horizontal="center" vertical="center" wrapText="1"/>
      <protection locked="0"/>
    </xf>
    <xf numFmtId="14" fontId="45" fillId="4" borderId="20" xfId="12" applyNumberFormat="1" applyFont="1" applyFill="1" applyBorder="1" applyAlignment="1">
      <alignment horizontal="center" vertical="center" wrapText="1"/>
    </xf>
    <xf numFmtId="14" fontId="44" fillId="4" borderId="20" xfId="12" applyNumberFormat="1" applyFont="1" applyFill="1" applyBorder="1" applyAlignment="1" applyProtection="1">
      <alignment horizontal="center" vertical="center" wrapText="1"/>
      <protection locked="0"/>
    </xf>
    <xf numFmtId="14" fontId="44" fillId="4" borderId="122" xfId="12" applyNumberFormat="1" applyFont="1" applyFill="1" applyBorder="1" applyAlignment="1" applyProtection="1">
      <alignment horizontal="center" vertical="center" wrapText="1"/>
      <protection locked="0"/>
    </xf>
    <xf numFmtId="0" fontId="113" fillId="4" borderId="20" xfId="12" applyFont="1" applyFill="1" applyBorder="1" applyAlignment="1" applyProtection="1">
      <alignment horizontal="center" vertical="center"/>
      <protection locked="0"/>
    </xf>
    <xf numFmtId="0" fontId="113" fillId="4" borderId="21" xfId="12" applyFont="1" applyFill="1" applyBorder="1" applyAlignment="1" applyProtection="1">
      <alignment horizontal="center" vertical="center"/>
      <protection locked="0"/>
    </xf>
    <xf numFmtId="0" fontId="112" fillId="0" borderId="124" xfId="0" applyFont="1" applyBorder="1" applyAlignment="1">
      <alignment horizontal="left" vertical="center" wrapText="1"/>
    </xf>
    <xf numFmtId="0" fontId="112" fillId="0" borderId="74" xfId="0" applyFont="1" applyBorder="1" applyAlignment="1">
      <alignment horizontal="left" vertical="center" wrapText="1"/>
    </xf>
    <xf numFmtId="0" fontId="112" fillId="0" borderId="75" xfId="0" applyFont="1" applyBorder="1" applyAlignment="1">
      <alignment horizontal="left" vertical="center" wrapText="1"/>
    </xf>
    <xf numFmtId="14" fontId="115" fillId="0" borderId="14" xfId="12" applyNumberFormat="1" applyFont="1" applyBorder="1" applyAlignment="1">
      <alignment horizontal="left" vertical="center" wrapText="1"/>
    </xf>
    <xf numFmtId="14" fontId="115" fillId="0" borderId="10" xfId="12" applyNumberFormat="1" applyFont="1" applyBorder="1" applyAlignment="1">
      <alignment horizontal="left" vertical="center" wrapText="1"/>
    </xf>
    <xf numFmtId="14" fontId="115" fillId="0" borderId="15" xfId="12" applyNumberFormat="1" applyFont="1" applyBorder="1" applyAlignment="1">
      <alignment horizontal="left" vertical="center" wrapText="1"/>
    </xf>
    <xf numFmtId="0" fontId="0" fillId="4" borderId="17" xfId="0" applyFill="1" applyBorder="1" applyAlignment="1" applyProtection="1">
      <alignment horizontal="center"/>
      <protection locked="0"/>
    </xf>
    <xf numFmtId="0" fontId="0" fillId="4" borderId="3" xfId="0" applyFill="1" applyBorder="1" applyAlignment="1" applyProtection="1">
      <alignment horizontal="center"/>
      <protection locked="0"/>
    </xf>
    <xf numFmtId="8" fontId="109" fillId="4" borderId="9" xfId="7" applyNumberFormat="1" applyFont="1" applyFill="1" applyBorder="1" applyAlignment="1" applyProtection="1">
      <alignment horizontal="center"/>
    </xf>
    <xf numFmtId="8" fontId="109" fillId="4" borderId="123" xfId="7" applyNumberFormat="1" applyFont="1" applyFill="1" applyBorder="1" applyAlignment="1" applyProtection="1">
      <alignment horizontal="center"/>
    </xf>
    <xf numFmtId="8" fontId="109" fillId="4" borderId="7" xfId="7" applyNumberFormat="1" applyFont="1" applyFill="1" applyBorder="1" applyAlignment="1" applyProtection="1">
      <alignment horizontal="center"/>
    </xf>
    <xf numFmtId="0" fontId="31" fillId="4" borderId="5" xfId="0" applyFont="1" applyFill="1" applyBorder="1" applyAlignment="1">
      <alignment horizontal="left"/>
    </xf>
    <xf numFmtId="0" fontId="31" fillId="4" borderId="0" xfId="0" applyFont="1" applyFill="1" applyBorder="1" applyAlignment="1">
      <alignment horizontal="left"/>
    </xf>
    <xf numFmtId="0" fontId="44" fillId="12" borderId="5" xfId="12" applyFont="1" applyFill="1" applyBorder="1" applyAlignment="1">
      <alignment horizontal="left" vertical="center" wrapText="1"/>
    </xf>
    <xf numFmtId="0" fontId="44" fillId="12" borderId="0" xfId="12" applyFont="1" applyFill="1" applyBorder="1" applyAlignment="1">
      <alignment horizontal="left" vertical="center" wrapText="1"/>
    </xf>
    <xf numFmtId="0" fontId="44" fillId="12" borderId="6" xfId="12" applyFont="1" applyFill="1" applyBorder="1" applyAlignment="1">
      <alignment horizontal="left" vertical="center" wrapText="1"/>
    </xf>
    <xf numFmtId="8" fontId="109" fillId="4" borderId="8" xfId="7" applyNumberFormat="1" applyFont="1" applyFill="1" applyBorder="1" applyAlignment="1" applyProtection="1">
      <alignment horizontal="center"/>
    </xf>
    <xf numFmtId="8" fontId="111" fillId="4" borderId="78" xfId="8" applyNumberFormat="1" applyFont="1" applyFill="1" applyBorder="1" applyAlignment="1" applyProtection="1">
      <alignment horizontal="center"/>
    </xf>
    <xf numFmtId="0" fontId="31" fillId="4" borderId="0" xfId="0" applyFont="1" applyFill="1" applyBorder="1" applyAlignment="1">
      <alignment horizontal="center"/>
    </xf>
    <xf numFmtId="0" fontId="31" fillId="4" borderId="6" xfId="0" applyFont="1" applyFill="1" applyBorder="1" applyAlignment="1">
      <alignment horizontal="center"/>
    </xf>
    <xf numFmtId="0" fontId="31" fillId="4" borderId="8" xfId="0" applyFont="1" applyFill="1" applyBorder="1" applyAlignment="1">
      <alignment horizontal="center"/>
    </xf>
    <xf numFmtId="8" fontId="110" fillId="4" borderId="8" xfId="7" applyNumberFormat="1" applyFont="1" applyFill="1" applyBorder="1" applyAlignment="1" applyProtection="1">
      <alignment horizontal="center"/>
    </xf>
    <xf numFmtId="8" fontId="110" fillId="4" borderId="9" xfId="7" applyNumberFormat="1" applyFont="1" applyFill="1" applyBorder="1" applyAlignment="1" applyProtection="1">
      <alignment horizontal="center"/>
    </xf>
    <xf numFmtId="0" fontId="55" fillId="4" borderId="0" xfId="0" applyFont="1" applyFill="1" applyAlignment="1">
      <alignment horizontal="center"/>
    </xf>
    <xf numFmtId="0" fontId="0" fillId="4" borderId="0" xfId="0" applyFill="1" applyAlignment="1">
      <alignment horizontal="center"/>
    </xf>
    <xf numFmtId="0" fontId="0" fillId="4" borderId="0" xfId="0" applyFill="1" applyAlignment="1">
      <alignment horizontal="center" wrapText="1"/>
    </xf>
    <xf numFmtId="0" fontId="0" fillId="4" borderId="0" xfId="0" applyFill="1" applyAlignment="1">
      <alignment horizontal="left" wrapText="1"/>
    </xf>
    <xf numFmtId="0" fontId="0" fillId="4" borderId="0" xfId="0" applyFill="1" applyAlignment="1">
      <alignment horizontal="right"/>
    </xf>
    <xf numFmtId="14" fontId="1" fillId="4" borderId="17" xfId="0" applyNumberFormat="1" applyFont="1" applyFill="1" applyBorder="1" applyAlignment="1" applyProtection="1">
      <alignment horizontal="center"/>
      <protection locked="0"/>
    </xf>
    <xf numFmtId="0" fontId="1" fillId="4" borderId="10" xfId="0" applyFont="1" applyFill="1" applyBorder="1" applyAlignment="1" applyProtection="1">
      <alignment horizontal="center"/>
      <protection locked="0"/>
    </xf>
    <xf numFmtId="0" fontId="1" fillId="4" borderId="17" xfId="0" applyFont="1" applyFill="1" applyBorder="1" applyAlignment="1" applyProtection="1">
      <alignment horizontal="center"/>
      <protection locked="0"/>
    </xf>
    <xf numFmtId="0" fontId="1" fillId="4" borderId="0" xfId="0" applyFont="1" applyFill="1" applyAlignment="1">
      <alignment horizontal="center" vertical="center" wrapText="1"/>
    </xf>
    <xf numFmtId="0" fontId="0" fillId="4" borderId="0" xfId="0" applyFill="1" applyAlignment="1">
      <alignment horizontal="left" vertical="center" wrapText="1"/>
    </xf>
    <xf numFmtId="0" fontId="1" fillId="4" borderId="0" xfId="0" applyFont="1" applyFill="1" applyAlignment="1">
      <alignment horizontal="right" vertical="center" wrapText="1"/>
    </xf>
    <xf numFmtId="0" fontId="0" fillId="10" borderId="2" xfId="0" applyFill="1" applyBorder="1" applyAlignment="1">
      <alignment horizontal="left" vertical="center" wrapText="1"/>
    </xf>
    <xf numFmtId="0" fontId="0" fillId="10" borderId="17" xfId="0" applyFill="1" applyBorder="1" applyAlignment="1">
      <alignment horizontal="left" vertical="center" wrapText="1"/>
    </xf>
    <xf numFmtId="0" fontId="0" fillId="10" borderId="3" xfId="0" applyFill="1" applyBorder="1" applyAlignment="1">
      <alignment horizontal="left" vertical="center" wrapText="1"/>
    </xf>
    <xf numFmtId="44" fontId="1" fillId="9" borderId="0" xfId="2" applyFont="1" applyFill="1" applyBorder="1" applyAlignment="1">
      <alignment horizontal="center" vertical="center" wrapText="1"/>
    </xf>
    <xf numFmtId="0" fontId="0" fillId="0" borderId="18" xfId="0" applyBorder="1" applyAlignment="1">
      <alignment horizontal="left" vertical="center" wrapText="1"/>
    </xf>
    <xf numFmtId="44" fontId="1" fillId="9" borderId="69" xfId="2" applyFont="1" applyFill="1" applyBorder="1" applyAlignment="1">
      <alignment horizontal="center" vertical="center" wrapText="1"/>
    </xf>
    <xf numFmtId="44" fontId="1" fillId="9" borderId="70" xfId="2" applyFont="1" applyFill="1" applyBorder="1" applyAlignment="1">
      <alignment horizontal="center" vertical="center" wrapText="1"/>
    </xf>
    <xf numFmtId="168" fontId="1" fillId="9" borderId="69" xfId="2" applyNumberFormat="1" applyFont="1" applyFill="1" applyBorder="1" applyAlignment="1">
      <alignment horizontal="center" vertical="center" wrapText="1"/>
    </xf>
    <xf numFmtId="168" fontId="1" fillId="9" borderId="70" xfId="2" applyNumberFormat="1" applyFont="1" applyFill="1" applyBorder="1" applyAlignment="1">
      <alignment horizontal="center" vertical="center" wrapText="1"/>
    </xf>
    <xf numFmtId="168" fontId="1" fillId="9" borderId="71" xfId="2" applyNumberFormat="1" applyFont="1" applyFill="1" applyBorder="1" applyAlignment="1">
      <alignment horizontal="center" vertical="center" wrapText="1"/>
    </xf>
    <xf numFmtId="0" fontId="41" fillId="0" borderId="18" xfId="0" applyFont="1" applyBorder="1" applyAlignment="1">
      <alignment vertical="center" wrapText="1"/>
    </xf>
    <xf numFmtId="168" fontId="1" fillId="9" borderId="68" xfId="2" applyNumberFormat="1" applyFont="1" applyFill="1" applyBorder="1" applyAlignment="1">
      <alignment horizontal="center" vertical="center" wrapText="1"/>
    </xf>
    <xf numFmtId="0" fontId="0" fillId="0" borderId="18" xfId="0" applyBorder="1" applyAlignment="1">
      <alignment vertical="center" wrapText="1"/>
    </xf>
    <xf numFmtId="0" fontId="41" fillId="0" borderId="18" xfId="0" applyFont="1" applyBorder="1" applyAlignment="1">
      <alignment vertical="top" wrapText="1"/>
    </xf>
    <xf numFmtId="0" fontId="13" fillId="0" borderId="10" xfId="0" applyFont="1" applyBorder="1" applyAlignment="1">
      <alignment horizontal="center"/>
    </xf>
    <xf numFmtId="0" fontId="34" fillId="0" borderId="37" xfId="0" applyFont="1" applyBorder="1" applyAlignment="1">
      <alignment horizontal="center" vertical="center"/>
    </xf>
    <xf numFmtId="0" fontId="34" fillId="0" borderId="4" xfId="0" applyFont="1" applyBorder="1" applyAlignment="1">
      <alignment horizontal="center" vertical="center"/>
    </xf>
    <xf numFmtId="0" fontId="34" fillId="0" borderId="36" xfId="0" applyFont="1" applyBorder="1" applyAlignment="1">
      <alignment horizontal="center" vertical="center"/>
    </xf>
    <xf numFmtId="0" fontId="34" fillId="0" borderId="35" xfId="0" applyFont="1" applyBorder="1" applyAlignment="1">
      <alignment horizontal="center" vertical="center"/>
    </xf>
    <xf numFmtId="0" fontId="34" fillId="0" borderId="10" xfId="0" applyFont="1" applyBorder="1" applyAlignment="1">
      <alignment horizontal="center" vertical="center"/>
    </xf>
    <xf numFmtId="0" fontId="34" fillId="0" borderId="19" xfId="0" applyFont="1" applyBorder="1" applyAlignment="1">
      <alignment horizontal="center" vertical="center"/>
    </xf>
    <xf numFmtId="0" fontId="0" fillId="4" borderId="18" xfId="0" applyFill="1" applyBorder="1" applyAlignment="1">
      <alignment horizontal="left" vertical="center" wrapText="1"/>
    </xf>
    <xf numFmtId="0" fontId="32" fillId="3" borderId="2" xfId="0" applyFont="1" applyFill="1" applyBorder="1" applyAlignment="1">
      <alignment horizontal="left" vertical="center" wrapText="1"/>
    </xf>
    <xf numFmtId="0" fontId="32" fillId="3" borderId="17" xfId="0" applyFont="1" applyFill="1" applyBorder="1" applyAlignment="1">
      <alignment horizontal="left" vertical="center" wrapText="1"/>
    </xf>
    <xf numFmtId="0" fontId="32" fillId="3" borderId="3" xfId="0" applyFont="1" applyFill="1" applyBorder="1" applyAlignment="1">
      <alignment horizontal="left" vertical="center" wrapText="1"/>
    </xf>
    <xf numFmtId="0" fontId="1" fillId="18" borderId="16" xfId="0" applyFont="1" applyFill="1" applyBorder="1" applyAlignment="1">
      <alignment horizontal="left" vertical="center" wrapText="1"/>
    </xf>
    <xf numFmtId="0" fontId="1" fillId="18" borderId="17" xfId="0" applyFont="1" applyFill="1" applyBorder="1" applyAlignment="1">
      <alignment horizontal="left" vertical="center" wrapText="1"/>
    </xf>
    <xf numFmtId="0" fontId="1" fillId="18" borderId="22" xfId="0" applyFont="1" applyFill="1" applyBorder="1" applyAlignment="1">
      <alignment horizontal="left" vertical="center" wrapText="1"/>
    </xf>
    <xf numFmtId="0" fontId="1" fillId="19" borderId="16" xfId="0" applyFont="1" applyFill="1" applyBorder="1" applyAlignment="1">
      <alignment horizontal="left" vertical="center" wrapText="1"/>
    </xf>
    <xf numFmtId="0" fontId="1" fillId="19" borderId="17" xfId="0" applyFont="1" applyFill="1" applyBorder="1" applyAlignment="1">
      <alignment horizontal="left" vertical="center" wrapText="1"/>
    </xf>
    <xf numFmtId="0" fontId="1" fillId="19" borderId="22" xfId="0" applyFont="1" applyFill="1" applyBorder="1" applyAlignment="1">
      <alignment horizontal="left" vertical="center" wrapText="1"/>
    </xf>
    <xf numFmtId="0" fontId="13" fillId="0" borderId="0" xfId="0" applyFont="1" applyAlignment="1">
      <alignment horizontal="center" vertical="center"/>
    </xf>
    <xf numFmtId="0" fontId="1" fillId="0" borderId="8" xfId="0" applyFont="1" applyBorder="1" applyAlignment="1">
      <alignment horizontal="center" vertical="center"/>
    </xf>
    <xf numFmtId="0" fontId="1" fillId="18" borderId="11" xfId="0" applyFont="1" applyFill="1" applyBorder="1" applyAlignment="1">
      <alignment horizontal="left" vertical="center" wrapText="1"/>
    </xf>
    <xf numFmtId="0" fontId="1" fillId="18" borderId="12" xfId="0" applyFont="1" applyFill="1" applyBorder="1" applyAlignment="1">
      <alignment horizontal="left" vertical="center" wrapText="1"/>
    </xf>
    <xf numFmtId="0" fontId="1" fillId="18" borderId="13" xfId="0" applyFont="1" applyFill="1" applyBorder="1" applyAlignment="1">
      <alignment horizontal="left" vertical="center" wrapText="1"/>
    </xf>
    <xf numFmtId="0" fontId="1" fillId="18" borderId="23" xfId="0" applyFont="1" applyFill="1" applyBorder="1" applyAlignment="1">
      <alignment horizontal="left" vertical="center" wrapText="1"/>
    </xf>
    <xf numFmtId="0" fontId="1" fillId="18" borderId="4" xfId="0" applyFont="1" applyFill="1" applyBorder="1" applyAlignment="1">
      <alignment horizontal="left" vertical="center" wrapText="1"/>
    </xf>
    <xf numFmtId="0" fontId="1" fillId="18" borderId="24" xfId="0" applyFont="1" applyFill="1" applyBorder="1" applyAlignment="1">
      <alignment horizontal="left" vertical="center" wrapText="1"/>
    </xf>
    <xf numFmtId="0" fontId="1" fillId="19" borderId="14" xfId="0" applyFont="1" applyFill="1" applyBorder="1" applyAlignment="1">
      <alignment horizontal="left" vertical="center" wrapText="1"/>
    </xf>
    <xf numFmtId="0" fontId="1" fillId="19" borderId="10" xfId="0" applyFont="1" applyFill="1" applyBorder="1" applyAlignment="1">
      <alignment horizontal="left" vertical="center" wrapText="1"/>
    </xf>
    <xf numFmtId="0" fontId="1" fillId="19" borderId="15" xfId="0" applyFont="1" applyFill="1" applyBorder="1" applyAlignment="1">
      <alignment horizontal="left" vertical="center" wrapText="1"/>
    </xf>
    <xf numFmtId="165" fontId="1" fillId="4" borderId="0" xfId="0" applyNumberFormat="1" applyFont="1" applyFill="1" applyAlignment="1">
      <alignment horizontal="center" vertical="center"/>
    </xf>
  </cellXfs>
  <cellStyles count="13">
    <cellStyle name="Bad" xfId="8" builtinId="27"/>
    <cellStyle name="Calculation" xfId="11" builtinId="22"/>
    <cellStyle name="Comma" xfId="6" builtinId="3"/>
    <cellStyle name="Currency" xfId="2" builtinId="4"/>
    <cellStyle name="Good" xfId="7" builtinId="26"/>
    <cellStyle name="Hyperlink" xfId="1" builtinId="8"/>
    <cellStyle name="Input" xfId="9" builtinId="20"/>
    <cellStyle name="Normal" xfId="0" builtinId="0"/>
    <cellStyle name="Normal 2" xfId="5" xr:uid="{EBF3ADE2-3171-4C10-9E75-1D40D3EFFA76}"/>
    <cellStyle name="Normal 3" xfId="4" xr:uid="{E2FA15CE-551D-4DD3-AE9E-C108B0781B25}"/>
    <cellStyle name="Normal 3 2" xfId="12" xr:uid="{B8DF9499-4B32-412A-9C15-A47058A2F2E3}"/>
    <cellStyle name="Output" xfId="10" builtinId="21"/>
    <cellStyle name="Percent" xfId="3" builtinId="5"/>
  </cellStyles>
  <dxfs count="130">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006100"/>
      </font>
      <fill>
        <patternFill>
          <bgColor rgb="FFC6EFCE"/>
        </patternFill>
      </fill>
    </dxf>
    <dxf>
      <fill>
        <patternFill>
          <bgColor rgb="FFFF9999"/>
        </patternFill>
      </fill>
    </dxf>
    <dxf>
      <fill>
        <patternFill>
          <bgColor rgb="FFFF7C80"/>
        </patternFill>
      </fill>
    </dxf>
    <dxf>
      <fill>
        <patternFill>
          <bgColor rgb="FFFF7C80"/>
        </patternFill>
      </fill>
    </dxf>
    <dxf>
      <font>
        <b/>
        <i val="0"/>
        <strike val="0"/>
        <color rgb="FFFF0000"/>
      </font>
    </dxf>
    <dxf>
      <font>
        <b/>
        <i val="0"/>
        <strike val="0"/>
        <color rgb="FFFF0000"/>
      </font>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92D050"/>
        </patternFill>
      </fill>
    </dxf>
    <dxf>
      <fill>
        <patternFill>
          <bgColor rgb="FFFFFF00"/>
        </patternFill>
      </fill>
    </dxf>
    <dxf>
      <fill>
        <patternFill>
          <bgColor rgb="FFFF000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theme="0" tint="-4.9989318521683403E-2"/>
        </patternFill>
      </fill>
    </dxf>
    <dxf>
      <fill>
        <patternFill>
          <bgColor theme="0" tint="-4.9989318521683403E-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5050"/>
        </patternFill>
      </fill>
    </dxf>
    <dxf>
      <fill>
        <patternFill>
          <bgColor rgb="FFFFFFCC"/>
        </patternFill>
      </fill>
    </dxf>
    <dxf>
      <fill>
        <patternFill>
          <bgColor rgb="FFFF0000"/>
        </patternFill>
      </fill>
    </dxf>
    <dxf>
      <fill>
        <patternFill>
          <bgColor rgb="FFFF0000"/>
        </patternFill>
      </fill>
    </dxf>
    <dxf>
      <fill>
        <patternFill>
          <bgColor rgb="FFFFC000"/>
        </patternFill>
      </fill>
    </dxf>
    <dxf>
      <fill>
        <patternFill>
          <bgColor rgb="FF92D050"/>
        </patternFill>
      </fill>
    </dxf>
    <dxf>
      <font>
        <color theme="0" tint="-0.14996795556505021"/>
      </font>
      <fill>
        <patternFill>
          <bgColor theme="0"/>
        </patternFill>
      </fill>
    </dxf>
    <dxf>
      <font>
        <color theme="0" tint="-0.14996795556505021"/>
      </font>
      <fill>
        <patternFill>
          <bgColor theme="0"/>
        </patternFill>
      </fill>
    </dxf>
    <dxf>
      <fill>
        <patternFill>
          <bgColor theme="0" tint="-0.24994659260841701"/>
        </patternFill>
      </fill>
    </dxf>
    <dxf>
      <font>
        <color theme="0" tint="-0.14996795556505021"/>
      </font>
      <fill>
        <patternFill>
          <bgColor theme="0"/>
        </patternFill>
      </fill>
    </dxf>
    <dxf>
      <fill>
        <patternFill>
          <bgColor theme="0" tint="-4.9989318521683403E-2"/>
        </patternFill>
      </fill>
    </dxf>
    <dxf>
      <font>
        <color theme="0" tint="-0.14996795556505021"/>
      </font>
      <fill>
        <patternFill>
          <bgColor theme="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theme="0" tint="-0.24994659260841701"/>
        </patternFill>
      </fill>
    </dxf>
    <dxf>
      <fill>
        <patternFill>
          <bgColor rgb="FFFFFF00"/>
        </patternFill>
      </fill>
    </dxf>
    <dxf>
      <fill>
        <patternFill>
          <bgColor rgb="FFFF0000"/>
        </patternFill>
      </fill>
    </dxf>
    <dxf>
      <fill>
        <patternFill>
          <bgColor rgb="FF92D050"/>
        </patternFill>
      </fill>
    </dxf>
    <dxf>
      <fill>
        <patternFill>
          <bgColor theme="0" tint="-0.24994659260841701"/>
        </patternFill>
      </fill>
    </dxf>
    <dxf>
      <font>
        <color theme="0" tint="-0.14996795556505021"/>
      </font>
      <fill>
        <patternFill>
          <bgColor theme="0"/>
        </patternFill>
      </fill>
    </dxf>
    <dxf>
      <font>
        <color theme="0" tint="-0.14996795556505021"/>
      </font>
      <fill>
        <patternFill>
          <bgColor theme="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00"/>
        </patternFill>
      </fill>
    </dxf>
    <dxf>
      <fill>
        <patternFill>
          <bgColor rgb="FFFF5050"/>
        </patternFill>
      </fill>
    </dxf>
    <dxf>
      <fill>
        <patternFill>
          <bgColor rgb="FFFF5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FFFFCC"/>
      <color rgb="FF439539"/>
      <color rgb="FFFF5050"/>
      <color rgb="FFFF0000"/>
      <color rgb="FFCCFF99"/>
      <color rgb="FFC7DC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5.xml"/><Relationship Id="rId39" Type="http://schemas.openxmlformats.org/officeDocument/2006/relationships/externalLink" Target="externalLinks/externalLink18.xml"/><Relationship Id="rId21" Type="http://schemas.openxmlformats.org/officeDocument/2006/relationships/worksheet" Target="worksheets/sheet21.xml"/><Relationship Id="rId34" Type="http://schemas.openxmlformats.org/officeDocument/2006/relationships/externalLink" Target="externalLinks/externalLink13.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8.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32" Type="http://schemas.openxmlformats.org/officeDocument/2006/relationships/externalLink" Target="externalLinks/externalLink11.xml"/><Relationship Id="rId37" Type="http://schemas.openxmlformats.org/officeDocument/2006/relationships/externalLink" Target="externalLinks/externalLink16.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externalLink" Target="externalLinks/externalLink7.xml"/><Relationship Id="rId36" Type="http://schemas.openxmlformats.org/officeDocument/2006/relationships/externalLink" Target="externalLinks/externalLink1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0.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externalLink" Target="externalLinks/externalLink6.xml"/><Relationship Id="rId30" Type="http://schemas.openxmlformats.org/officeDocument/2006/relationships/externalLink" Target="externalLinks/externalLink9.xml"/><Relationship Id="rId35" Type="http://schemas.openxmlformats.org/officeDocument/2006/relationships/externalLink" Target="externalLinks/externalLink14.xml"/><Relationship Id="rId43" Type="http://schemas.microsoft.com/office/2017/10/relationships/person" Target="persons/perso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33" Type="http://schemas.openxmlformats.org/officeDocument/2006/relationships/externalLink" Target="externalLinks/externalLink12.xml"/><Relationship Id="rId38" Type="http://schemas.openxmlformats.org/officeDocument/2006/relationships/externalLink" Target="externalLinks/externalLink1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jpeg"/></Relationships>
</file>

<file path=xl/drawings/_rels/drawing7.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6.jpeg"/></Relationships>
</file>

<file path=xl/drawings/_rels/drawing8.xml.rels><?xml version="1.0" encoding="UTF-8" standalone="yes"?>
<Relationships xmlns="http://schemas.openxmlformats.org/package/2006/relationships"><Relationship Id="rId1" Type="http://schemas.openxmlformats.org/officeDocument/2006/relationships/image" Target="../media/image8.png"/></Relationships>
</file>

<file path=xl/drawings/_rels/drawing9.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9.jp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16</xdr:row>
      <xdr:rowOff>68580</xdr:rowOff>
    </xdr:from>
    <xdr:to>
      <xdr:col>12</xdr:col>
      <xdr:colOff>145018</xdr:colOff>
      <xdr:row>18</xdr:row>
      <xdr:rowOff>136274</xdr:rowOff>
    </xdr:to>
    <xdr:pic>
      <xdr:nvPicPr>
        <xdr:cNvPr id="2" name="Picture 1">
          <a:extLst>
            <a:ext uri="{FF2B5EF4-FFF2-40B4-BE49-F238E27FC236}">
              <a16:creationId xmlns:a16="http://schemas.microsoft.com/office/drawing/2014/main" id="{57D3F32F-4659-6354-BDE4-AB47BF0F4510}"/>
            </a:ext>
          </a:extLst>
        </xdr:cNvPr>
        <xdr:cNvPicPr>
          <a:picLocks noChangeAspect="1"/>
        </xdr:cNvPicPr>
      </xdr:nvPicPr>
      <xdr:blipFill>
        <a:blip xmlns:r="http://schemas.openxmlformats.org/officeDocument/2006/relationships" r:embed="rId1"/>
        <a:stretch>
          <a:fillRect/>
        </a:stretch>
      </xdr:blipFill>
      <xdr:spPr>
        <a:xfrm>
          <a:off x="365760" y="1440180"/>
          <a:ext cx="1973818" cy="52489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34</xdr:col>
      <xdr:colOff>31531</xdr:colOff>
      <xdr:row>0</xdr:row>
      <xdr:rowOff>31511</xdr:rowOff>
    </xdr:from>
    <xdr:to>
      <xdr:col>40</xdr:col>
      <xdr:colOff>43354</xdr:colOff>
      <xdr:row>3</xdr:row>
      <xdr:rowOff>22766</xdr:rowOff>
    </xdr:to>
    <xdr:pic>
      <xdr:nvPicPr>
        <xdr:cNvPr id="2" name="Picture 1">
          <a:extLst>
            <a:ext uri="{FF2B5EF4-FFF2-40B4-BE49-F238E27FC236}">
              <a16:creationId xmlns:a16="http://schemas.microsoft.com/office/drawing/2014/main" id="{8E606630-4FEE-D5B8-F76E-F4E41A781D9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64317" y="31511"/>
          <a:ext cx="1115409" cy="10107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34</xdr:col>
      <xdr:colOff>36787</xdr:colOff>
      <xdr:row>0</xdr:row>
      <xdr:rowOff>26275</xdr:rowOff>
    </xdr:from>
    <xdr:to>
      <xdr:col>40</xdr:col>
      <xdr:colOff>48610</xdr:colOff>
      <xdr:row>3</xdr:row>
      <xdr:rowOff>17530</xdr:rowOff>
    </xdr:to>
    <xdr:pic>
      <xdr:nvPicPr>
        <xdr:cNvPr id="3" name="Picture 2">
          <a:extLst>
            <a:ext uri="{FF2B5EF4-FFF2-40B4-BE49-F238E27FC236}">
              <a16:creationId xmlns:a16="http://schemas.microsoft.com/office/drawing/2014/main" id="{C116CE0D-981E-4A2C-BCDE-654C2A7B33C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69573" y="26275"/>
          <a:ext cx="1115409" cy="10107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15</xdr:col>
      <xdr:colOff>358039</xdr:colOff>
      <xdr:row>0</xdr:row>
      <xdr:rowOff>15765</xdr:rowOff>
    </xdr:from>
    <xdr:to>
      <xdr:col>18</xdr:col>
      <xdr:colOff>258816</xdr:colOff>
      <xdr:row>2</xdr:row>
      <xdr:rowOff>367861</xdr:rowOff>
    </xdr:to>
    <xdr:pic>
      <xdr:nvPicPr>
        <xdr:cNvPr id="2" name="Picture 1">
          <a:extLst>
            <a:ext uri="{FF2B5EF4-FFF2-40B4-BE49-F238E27FC236}">
              <a16:creationId xmlns:a16="http://schemas.microsoft.com/office/drawing/2014/main" id="{A5C122A2-7770-4FC1-B15C-4565E576336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07805" y="15765"/>
          <a:ext cx="1014873" cy="9196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20</xdr:col>
      <xdr:colOff>181707</xdr:colOff>
      <xdr:row>0</xdr:row>
      <xdr:rowOff>17584</xdr:rowOff>
    </xdr:from>
    <xdr:to>
      <xdr:col>23</xdr:col>
      <xdr:colOff>187235</xdr:colOff>
      <xdr:row>4</xdr:row>
      <xdr:rowOff>5739</xdr:rowOff>
    </xdr:to>
    <xdr:pic>
      <xdr:nvPicPr>
        <xdr:cNvPr id="2" name="Picture 1">
          <a:extLst>
            <a:ext uri="{FF2B5EF4-FFF2-40B4-BE49-F238E27FC236}">
              <a16:creationId xmlns:a16="http://schemas.microsoft.com/office/drawing/2014/main" id="{A04EB903-25B3-4E59-B245-7355A6E195D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9769" y="17584"/>
          <a:ext cx="916118" cy="8301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32</xdr:col>
      <xdr:colOff>93784</xdr:colOff>
      <xdr:row>0</xdr:row>
      <xdr:rowOff>0</xdr:rowOff>
    </xdr:from>
    <xdr:to>
      <xdr:col>36</xdr:col>
      <xdr:colOff>25163</xdr:colOff>
      <xdr:row>2</xdr:row>
      <xdr:rowOff>39609</xdr:rowOff>
    </xdr:to>
    <xdr:pic>
      <xdr:nvPicPr>
        <xdr:cNvPr id="3" name="Picture 2">
          <a:extLst>
            <a:ext uri="{FF2B5EF4-FFF2-40B4-BE49-F238E27FC236}">
              <a16:creationId xmlns:a16="http://schemas.microsoft.com/office/drawing/2014/main" id="{6B2FD51F-F982-4760-BF80-90AD3660C78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85338" y="0"/>
          <a:ext cx="658210" cy="5964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oneCellAnchor>
    <xdr:from>
      <xdr:col>15</xdr:col>
      <xdr:colOff>285750</xdr:colOff>
      <xdr:row>44</xdr:row>
      <xdr:rowOff>42073</xdr:rowOff>
    </xdr:from>
    <xdr:ext cx="683491" cy="428254"/>
    <xdr:pic>
      <xdr:nvPicPr>
        <xdr:cNvPr id="3" name="Picture 2">
          <a:extLst>
            <a:ext uri="{FF2B5EF4-FFF2-40B4-BE49-F238E27FC236}">
              <a16:creationId xmlns:a16="http://schemas.microsoft.com/office/drawing/2014/main" id="{5E5197A4-FCB7-4BBE-8A2C-AF569984827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91150" y="9056533"/>
          <a:ext cx="683491" cy="428254"/>
        </a:xfrm>
        <a:prstGeom prst="rect">
          <a:avLst/>
        </a:prstGeom>
      </xdr:spPr>
    </xdr:pic>
    <xdr:clientData/>
  </xdr:oneCellAnchor>
  <xdr:oneCellAnchor>
    <xdr:from>
      <xdr:col>15</xdr:col>
      <xdr:colOff>285750</xdr:colOff>
      <xdr:row>91</xdr:row>
      <xdr:rowOff>42073</xdr:rowOff>
    </xdr:from>
    <xdr:ext cx="683491" cy="428254"/>
    <xdr:pic>
      <xdr:nvPicPr>
        <xdr:cNvPr id="4" name="Picture 3">
          <a:extLst>
            <a:ext uri="{FF2B5EF4-FFF2-40B4-BE49-F238E27FC236}">
              <a16:creationId xmlns:a16="http://schemas.microsoft.com/office/drawing/2014/main" id="{9F818548-E1A9-45EF-9347-8B187717A2D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91150" y="17865253"/>
          <a:ext cx="683491" cy="428254"/>
        </a:xfrm>
        <a:prstGeom prst="rect">
          <a:avLst/>
        </a:prstGeom>
      </xdr:spPr>
    </xdr:pic>
    <xdr:clientData/>
  </xdr:oneCellAnchor>
  <xdr:twoCellAnchor editAs="oneCell">
    <xdr:from>
      <xdr:col>15</xdr:col>
      <xdr:colOff>114300</xdr:colOff>
      <xdr:row>0</xdr:row>
      <xdr:rowOff>16329</xdr:rowOff>
    </xdr:from>
    <xdr:to>
      <xdr:col>17</xdr:col>
      <xdr:colOff>272143</xdr:colOff>
      <xdr:row>3</xdr:row>
      <xdr:rowOff>76168</xdr:rowOff>
    </xdr:to>
    <xdr:pic>
      <xdr:nvPicPr>
        <xdr:cNvPr id="5" name="Picture 4">
          <a:extLst>
            <a:ext uri="{FF2B5EF4-FFF2-40B4-BE49-F238E27FC236}">
              <a16:creationId xmlns:a16="http://schemas.microsoft.com/office/drawing/2014/main" id="{180AB6A2-0535-468A-B520-952CB0EA4A8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52357" y="16329"/>
          <a:ext cx="908957" cy="76741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32</xdr:col>
      <xdr:colOff>21176</xdr:colOff>
      <xdr:row>0</xdr:row>
      <xdr:rowOff>15767</xdr:rowOff>
    </xdr:from>
    <xdr:to>
      <xdr:col>36</xdr:col>
      <xdr:colOff>14862</xdr:colOff>
      <xdr:row>2</xdr:row>
      <xdr:rowOff>57808</xdr:rowOff>
    </xdr:to>
    <xdr:pic>
      <xdr:nvPicPr>
        <xdr:cNvPr id="3" name="Picture 2">
          <a:extLst>
            <a:ext uri="{FF2B5EF4-FFF2-40B4-BE49-F238E27FC236}">
              <a16:creationId xmlns:a16="http://schemas.microsoft.com/office/drawing/2014/main" id="{539C0F0E-6595-A287-A464-1616399B4628}"/>
            </a:ext>
          </a:extLst>
        </xdr:cNvPr>
        <xdr:cNvPicPr>
          <a:picLocks noChangeAspect="1"/>
        </xdr:cNvPicPr>
      </xdr:nvPicPr>
      <xdr:blipFill>
        <a:blip xmlns:r="http://schemas.openxmlformats.org/officeDocument/2006/relationships" r:embed="rId1"/>
        <a:stretch>
          <a:fillRect/>
        </a:stretch>
      </xdr:blipFill>
      <xdr:spPr>
        <a:xfrm>
          <a:off x="5570638" y="15767"/>
          <a:ext cx="687369" cy="62011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438150</xdr:colOff>
      <xdr:row>23</xdr:row>
      <xdr:rowOff>40005</xdr:rowOff>
    </xdr:from>
    <xdr:to>
      <xdr:col>5</xdr:col>
      <xdr:colOff>36195</xdr:colOff>
      <xdr:row>31</xdr:row>
      <xdr:rowOff>127635</xdr:rowOff>
    </xdr:to>
    <xdr:pic>
      <xdr:nvPicPr>
        <xdr:cNvPr id="2" name="Picture 1">
          <a:extLst>
            <a:ext uri="{FF2B5EF4-FFF2-40B4-BE49-F238E27FC236}">
              <a16:creationId xmlns:a16="http://schemas.microsoft.com/office/drawing/2014/main" id="{0617C523-363E-4E65-AE7E-84CBD249659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41070" y="5061585"/>
          <a:ext cx="1640205" cy="1550670"/>
        </a:xfrm>
        <a:prstGeom prst="rect">
          <a:avLst/>
        </a:prstGeom>
      </xdr:spPr>
    </xdr:pic>
    <xdr:clientData/>
  </xdr:twoCellAnchor>
  <xdr:twoCellAnchor editAs="oneCell">
    <xdr:from>
      <xdr:col>6</xdr:col>
      <xdr:colOff>251460</xdr:colOff>
      <xdr:row>22</xdr:row>
      <xdr:rowOff>91440</xdr:rowOff>
    </xdr:from>
    <xdr:to>
      <xdr:col>9</xdr:col>
      <xdr:colOff>637865</xdr:colOff>
      <xdr:row>32</xdr:row>
      <xdr:rowOff>164847</xdr:rowOff>
    </xdr:to>
    <xdr:pic>
      <xdr:nvPicPr>
        <xdr:cNvPr id="4" name="Picture 3">
          <a:extLst>
            <a:ext uri="{FF2B5EF4-FFF2-40B4-BE49-F238E27FC236}">
              <a16:creationId xmlns:a16="http://schemas.microsoft.com/office/drawing/2014/main" id="{C8599F6B-733A-1377-CC6B-D06DD883E1F3}"/>
            </a:ext>
          </a:extLst>
        </xdr:cNvPr>
        <xdr:cNvPicPr>
          <a:picLocks noChangeAspect="1"/>
        </xdr:cNvPicPr>
      </xdr:nvPicPr>
      <xdr:blipFill>
        <a:blip xmlns:r="http://schemas.openxmlformats.org/officeDocument/2006/relationships" r:embed="rId2"/>
        <a:stretch>
          <a:fillRect/>
        </a:stretch>
      </xdr:blipFill>
      <xdr:spPr>
        <a:xfrm>
          <a:off x="3406140" y="5082540"/>
          <a:ext cx="2108525" cy="190220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s\davidbeaulieu\AppData\Local\Microsoft\Windows\Temporary%20Internet%20Files\Content.Outlook\X38P3X6H\Data%20Form%208-1%20v4.2%208.12.16.xlsx" TargetMode="External"/></Relationships>
</file>

<file path=xl/externalLinks/_rels/externalLink10.xml.rels><?xml version="1.0" encoding="UTF-8" standalone="yes"?>
<Relationships xmlns="http://schemas.openxmlformats.org/package/2006/relationships"><Relationship Id="rId2" Type="http://schemas.openxmlformats.org/officeDocument/2006/relationships/externalLinkPath" Target="file:///C:\Users\designorc\OneDrive%20-%20Leidos-LeidosCorpUS\Desktop\Ameren%20IQ\PY23\Home%20Efficiency%20Program\PY23%20Versions\PY2023-Home-Efficiency-Workbook-Rev3.G%20Tier%20levels.xlsx" TargetMode="External"/><Relationship Id="rId1" Type="http://schemas.openxmlformats.org/officeDocument/2006/relationships/externalLinkPath" Target="file:///C:\Users\designorc\OneDrive%20-%20Leidos-LeidosCorpUS\Desktop\Ameren%20IQ\PY23\Home%20Efficiency%20Program\PY23%20Versions\PY2023-Home-Efficiency-Workbook-Rev3.G%20Tier%20levels.xlsx" TargetMode="External"/></Relationships>
</file>

<file path=xl/externalLinks/_rels/externalLink11.xml.rels><?xml version="1.0" encoding="UTF-8" standalone="yes"?>
<Relationships xmlns="http://schemas.openxmlformats.org/package/2006/relationships"><Relationship Id="rId2" Type="http://schemas.openxmlformats.org/officeDocument/2006/relationships/externalLinkPath" Target="file:///C:\Users\designorc\OneDrive%20-%20Leidos-LeidosCorpUS\Desktop\Ameren%20IQ\PY23\Home%20Efficiency%20Program\PY23%20Versions\PY2023-Home-Efficiency-Workbook-Rev3.A.xlsx" TargetMode="External"/><Relationship Id="rId1" Type="http://schemas.openxmlformats.org/officeDocument/2006/relationships/externalLinkPath" Target="file:///C:\Users\designorc\OneDrive%20-%20Leidos-LeidosCorpUS\Desktop\Ameren%20IQ\PY23\Home%20Efficiency%20Program\PY23%20Versions\PY2023-Home-Efficiency-Workbook-Rev3.A.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ameresco-my.sharepoint.com/Projects/DEER2013/Lighting%20Workbook/Res/DEER2010-2012ResidentialImpacts%20v1_5.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Projects\DEER2013\Lighting%20Workbook\Res\DEER2010-2012ResidentialImpacts%20v1_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F:\Users\paul.englert\Desktop\HE-IQ%20Audit-Work%20Scope-Incentive%20Application%20w%20SIR%20v1.3.2%20Test.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designorc\OneDrive%20-%20Leidos-LeidosCorpUS\Desktop\Ameren%20IQ\CAA\Process%20and%20Review%20Documents\PY23\CAA%20Application\PY23-HEIQCAA-Incentive%20Application%20(RevA).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ameresco-my.sharepoint.com/WINDOWS/Temporary%20Internet%20Files/Content.Outlook/0CHIRH6H/Dual_baseline.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WINDOWS\Temporary%20Internet%20Files\Content.Outlook\0CHIRH6H\Dual_baseline.xls" TargetMode="External"/></Relationships>
</file>

<file path=xl/externalLinks/_rels/externalLink18.xml.rels><?xml version="1.0" encoding="UTF-8" standalone="yes"?>
<Relationships xmlns="http://schemas.openxmlformats.org/package/2006/relationships"><Relationship Id="rId2" Type="http://schemas.openxmlformats.org/officeDocument/2006/relationships/externalLinkPath" Target="file:///C:\Users\designorc\OneDrive%20-%20Leidos-LeidosCorpUS\Desktop\Ameren%20IQ\PY24\Bill%20Impact%20Tool\2024%20Electrification%20Bill%20Impact%20Tool_REVA_gasWH%20to%20HPWH.xlsx" TargetMode="External"/><Relationship Id="rId1" Type="http://schemas.openxmlformats.org/officeDocument/2006/relationships/externalLinkPath" Target="file:///C:\Users\designorc\OneDrive%20-%20Leidos-LeidosCorpUS\Desktop\Ameren%20IQ\PY24\Bill%20Impact%20Tool\2024%20Electrification%20Bill%20Impact%20Tool_REVA_gasWH%20to%20HPW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deeresources.com/KevinShared/DMQC/InteractiveEffects/Interactive%20Effects_100226/Interactive%20Effects_10022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ameresco-my.sharepoint.com/Users/AxZe/AppData/Local/Microsoft/Windows/Temporary%20Internet%20Files/Content.Outlook/9WDF8M4R/Dimming%20ballast%20measure%20saving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xZe\AppData\Local\Microsoft\Windows\Temporary%20Internet%20Files\Content.Outlook\9WDF8M4R\Dimming%20ballast%20measure%20saving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ameresco-my.sharepoint.com/Users/axze/AppData/Local/Microsoft/Windows/Temporary%20Internet%20Files/Content.Outlook/L3P7IY6G/WIP%20v0%200%20-%20Calculation%20Template%202015%20v0%200.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axze\AppData\Local\Microsoft\Windows\Temporary%20Internet%20Files\Content.Outlook\L3P7IY6G\WIP%20v0%200%20-%20Calculation%20Template%202015%20v0%200.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designorc\Desktop\Ameren%20IQ\PY21\Home%20Efficiency%20Program%20Application\Rev%205\Ancillary%20costs%20form\PY2021-Home-Efficiency-Workbook-3.10.21.xlsx" TargetMode="External"/></Relationships>
</file>

<file path=xl/externalLinks/_rels/externalLink8.xml.rels><?xml version="1.0" encoding="UTF-8" standalone="yes"?>
<Relationships xmlns="http://schemas.openxmlformats.org/package/2006/relationships"><Relationship Id="rId2" Type="http://schemas.openxmlformats.org/officeDocument/2006/relationships/externalLinkPath" Target="file:///C:\Users\designorc\OneDrive%20-%20Leidos-LeidosCorpUS\Desktop\Ameren%20IQ\PY23\Home%20Efficiency%20Program\PY23%20Versions\PY2023-Home-Efficiency-Workbook-Rev3.J.xlsx" TargetMode="External"/><Relationship Id="rId1" Type="http://schemas.openxmlformats.org/officeDocument/2006/relationships/externalLinkPath" Target="file:///C:\Users\designorc\OneDrive%20-%20Leidos-LeidosCorpUS\Desktop\Ameren%20IQ\PY23\Home%20Efficiency%20Program\PY23%20Versions\PY2023-Home-Efficiency-Workbook-Rev3.J.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designorc\Desktop\Ameren%20IQ\PY21\Home%20Efficiency%20Program%20Application\Rev%207\PY2021-Home-Efficiency-Workbook-Rev07.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Form"/>
      <sheetName val="WS-IncApp"/>
      <sheetName val="List"/>
      <sheetName val="Prices"/>
    </sheetNames>
    <sheetDataSet>
      <sheetData sheetId="0" refreshError="1"/>
      <sheetData sheetId="1" refreshError="1"/>
      <sheetData sheetId="2" refreshError="1">
        <row r="2">
          <cell r="A2" t="str">
            <v>Yes</v>
          </cell>
          <cell r="C2" t="str">
            <v>Basement</v>
          </cell>
          <cell r="E2" t="str">
            <v>Ridge</v>
          </cell>
          <cell r="G2" t="str">
            <v>Ranch</v>
          </cell>
        </row>
        <row r="3">
          <cell r="A3" t="str">
            <v>No</v>
          </cell>
          <cell r="C3" t="str">
            <v>Crawl Space</v>
          </cell>
          <cell r="E3" t="str">
            <v>Gable</v>
          </cell>
          <cell r="G3" t="str">
            <v>Split Level</v>
          </cell>
        </row>
        <row r="4">
          <cell r="A4" t="str">
            <v>Will be</v>
          </cell>
          <cell r="C4" t="str">
            <v>Attic</v>
          </cell>
          <cell r="E4" t="str">
            <v>Power</v>
          </cell>
          <cell r="G4" t="str">
            <v>1.5 Story</v>
          </cell>
        </row>
        <row r="5">
          <cell r="A5" t="str">
            <v>X</v>
          </cell>
          <cell r="C5" t="str">
            <v>Slab</v>
          </cell>
          <cell r="E5" t="str">
            <v>Soffit</v>
          </cell>
          <cell r="G5" t="str">
            <v>2 Story</v>
          </cell>
        </row>
        <row r="6">
          <cell r="C6" t="str">
            <v>Other</v>
          </cell>
          <cell r="E6" t="str">
            <v>Static (Louvered)</v>
          </cell>
          <cell r="G6" t="str">
            <v>Raised Ranch</v>
          </cell>
        </row>
        <row r="7">
          <cell r="E7" t="str">
            <v>Other</v>
          </cell>
          <cell r="G7" t="str">
            <v>Tri Level</v>
          </cell>
        </row>
        <row r="8">
          <cell r="A8" t="str">
            <v>CFL</v>
          </cell>
          <cell r="C8" t="str">
            <v>Tank</v>
          </cell>
        </row>
        <row r="9">
          <cell r="A9" t="str">
            <v>LED</v>
          </cell>
          <cell r="C9" t="str">
            <v>On Demand</v>
          </cell>
          <cell r="E9" t="str">
            <v>Attic Flat</v>
          </cell>
          <cell r="G9" t="str">
            <v>Yes</v>
          </cell>
        </row>
        <row r="10">
          <cell r="A10" t="str">
            <v>Incandescent</v>
          </cell>
          <cell r="C10" t="str">
            <v>Heat Pump</v>
          </cell>
          <cell r="E10" t="str">
            <v>Attic Slope</v>
          </cell>
          <cell r="G10" t="str">
            <v>No</v>
          </cell>
        </row>
        <row r="11">
          <cell r="C11" t="str">
            <v>Other</v>
          </cell>
          <cell r="E11" t="str">
            <v>Kneewall Flat</v>
          </cell>
          <cell r="G11" t="str">
            <v>NA</v>
          </cell>
        </row>
        <row r="12">
          <cell r="A12">
            <v>1</v>
          </cell>
          <cell r="E12" t="str">
            <v>Kneewall Slope</v>
          </cell>
        </row>
        <row r="13">
          <cell r="A13">
            <v>2</v>
          </cell>
          <cell r="C13" t="str">
            <v>Natural</v>
          </cell>
          <cell r="G13" t="str">
            <v>Silvercote</v>
          </cell>
        </row>
        <row r="14">
          <cell r="A14">
            <v>3</v>
          </cell>
          <cell r="C14" t="str">
            <v>Power</v>
          </cell>
          <cell r="E14" t="str">
            <v>Batt</v>
          </cell>
        </row>
        <row r="15">
          <cell r="A15">
            <v>4</v>
          </cell>
          <cell r="C15" t="str">
            <v>Flue Liner</v>
          </cell>
          <cell r="E15" t="str">
            <v>Cellulose</v>
          </cell>
        </row>
        <row r="16">
          <cell r="A16">
            <v>5</v>
          </cell>
          <cell r="C16" t="str">
            <v>NA</v>
          </cell>
          <cell r="E16" t="str">
            <v>Blown Fiberglass</v>
          </cell>
        </row>
        <row r="17">
          <cell r="A17">
            <v>6</v>
          </cell>
          <cell r="E17" t="str">
            <v>Rockwool</v>
          </cell>
        </row>
        <row r="18">
          <cell r="A18" t="str">
            <v>Older</v>
          </cell>
          <cell r="C18" t="str">
            <v>Finished</v>
          </cell>
        </row>
        <row r="19">
          <cell r="C19" t="str">
            <v>Unfinished</v>
          </cell>
          <cell r="E19">
            <v>3.5</v>
          </cell>
        </row>
        <row r="20">
          <cell r="A20" t="str">
            <v>Gas</v>
          </cell>
          <cell r="C20" t="str">
            <v>Partial</v>
          </cell>
          <cell r="E20">
            <v>5.5</v>
          </cell>
        </row>
        <row r="21">
          <cell r="A21" t="str">
            <v>Electric</v>
          </cell>
          <cell r="C21" t="str">
            <v>NA</v>
          </cell>
        </row>
        <row r="22">
          <cell r="A22" t="str">
            <v>NA</v>
          </cell>
          <cell r="E22" t="str">
            <v>Awful</v>
          </cell>
        </row>
        <row r="23">
          <cell r="A23" t="str">
            <v>ASHP</v>
          </cell>
          <cell r="C23" t="str">
            <v>Hatch</v>
          </cell>
          <cell r="E23" t="str">
            <v>Poor</v>
          </cell>
        </row>
        <row r="24">
          <cell r="A24" t="str">
            <v>Furnace</v>
          </cell>
          <cell r="C24" t="str">
            <v>Pull Down</v>
          </cell>
          <cell r="E24" t="str">
            <v>Fair</v>
          </cell>
        </row>
        <row r="25">
          <cell r="A25" t="str">
            <v>Boiler</v>
          </cell>
          <cell r="C25" t="str">
            <v>Door</v>
          </cell>
          <cell r="E25" t="str">
            <v>Good</v>
          </cell>
        </row>
        <row r="26">
          <cell r="A26" t="str">
            <v>Baseboard</v>
          </cell>
          <cell r="C26" t="str">
            <v>Other</v>
          </cell>
        </row>
        <row r="27">
          <cell r="A27" t="str">
            <v>Other</v>
          </cell>
          <cell r="E27" t="str">
            <v>All</v>
          </cell>
        </row>
        <row r="28">
          <cell r="C28" t="str">
            <v>Hall</v>
          </cell>
          <cell r="E28" t="str">
            <v>North</v>
          </cell>
        </row>
        <row r="29">
          <cell r="A29" t="str">
            <v>Excellent</v>
          </cell>
          <cell r="C29" t="str">
            <v>Closet</v>
          </cell>
          <cell r="E29" t="str">
            <v>South</v>
          </cell>
        </row>
        <row r="30">
          <cell r="A30" t="str">
            <v>Good</v>
          </cell>
          <cell r="C30" t="str">
            <v>Garage</v>
          </cell>
          <cell r="E30" t="str">
            <v>West</v>
          </cell>
        </row>
        <row r="31">
          <cell r="A31" t="str">
            <v>Fair</v>
          </cell>
          <cell r="C31" t="str">
            <v>Gable</v>
          </cell>
          <cell r="E31" t="str">
            <v>East</v>
          </cell>
        </row>
        <row r="32">
          <cell r="A32" t="str">
            <v>Poor</v>
          </cell>
        </row>
        <row r="33">
          <cell r="C33" t="str">
            <v>Hip</v>
          </cell>
          <cell r="E33" t="str">
            <v>SPF Open Cell</v>
          </cell>
        </row>
        <row r="34">
          <cell r="A34" t="str">
            <v>AC</v>
          </cell>
          <cell r="C34" t="str">
            <v>Gable</v>
          </cell>
          <cell r="E34" t="str">
            <v>SPF Closed Cell</v>
          </cell>
        </row>
        <row r="35">
          <cell r="A35" t="str">
            <v>ASHP</v>
          </cell>
          <cell r="C35" t="str">
            <v>Mansard</v>
          </cell>
          <cell r="E35" t="str">
            <v>Rigid Board</v>
          </cell>
        </row>
        <row r="36">
          <cell r="A36" t="str">
            <v>Window</v>
          </cell>
        </row>
        <row r="37">
          <cell r="A37" t="str">
            <v>NA</v>
          </cell>
        </row>
      </sheetData>
      <sheetData sheetId="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Work Scope"/>
      <sheetName val="Transmittal Res"/>
      <sheetName val="Transmittal Inc"/>
      <sheetName val="Electrification"/>
      <sheetName val="HeRO"/>
      <sheetName val="Health &amp; Safety Form"/>
      <sheetName val="Ancillary Costs"/>
      <sheetName val="Inspection Disclaimers"/>
      <sheetName val="Diagnostic Test Form"/>
      <sheetName val="WNCF Form"/>
      <sheetName val="Change Order Form"/>
      <sheetName val="Home Efficiency - PY23 Pricing"/>
      <sheetName val="Health &amp; Safety - PY23 Pricing"/>
      <sheetName val="Assessment Form"/>
      <sheetName val="HVAC Tier 2 Incentive Table"/>
      <sheetName val="Revision Tracking"/>
      <sheetName val="Measures"/>
      <sheetName val="Lists"/>
      <sheetName val="AF List"/>
      <sheetName val="Referenc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ow r="2">
          <cell r="C2">
            <v>0.9</v>
          </cell>
        </row>
      </sheetData>
      <sheetData sheetId="17">
        <row r="9">
          <cell r="C9" t="str">
            <v>Yes</v>
          </cell>
        </row>
        <row r="10">
          <cell r="C10" t="str">
            <v>No</v>
          </cell>
        </row>
        <row r="11">
          <cell r="C11" t="str">
            <v>NA</v>
          </cell>
        </row>
        <row r="18">
          <cell r="C18" t="str">
            <v>Tank</v>
          </cell>
        </row>
        <row r="19">
          <cell r="C19" t="str">
            <v>On Demand</v>
          </cell>
        </row>
        <row r="20">
          <cell r="C20" t="str">
            <v>Heat Pump</v>
          </cell>
        </row>
        <row r="21">
          <cell r="C21" t="str">
            <v>Other</v>
          </cell>
        </row>
        <row r="22">
          <cell r="C22" t="str">
            <v>NA</v>
          </cell>
        </row>
        <row r="24">
          <cell r="A24" t="str">
            <v>Good</v>
          </cell>
        </row>
        <row r="25">
          <cell r="A25" t="str">
            <v>Fair</v>
          </cell>
        </row>
        <row r="26">
          <cell r="A26" t="str">
            <v>Poor</v>
          </cell>
        </row>
        <row r="27">
          <cell r="A27" t="str">
            <v>Very Poor</v>
          </cell>
        </row>
        <row r="29">
          <cell r="A29" t="str">
            <v>Natural Gas Furnace</v>
          </cell>
        </row>
        <row r="30">
          <cell r="A30" t="str">
            <v>Natural Gas Boiler</v>
          </cell>
        </row>
        <row r="31">
          <cell r="A31" t="str">
            <v>Propane Furnace</v>
          </cell>
        </row>
        <row r="32">
          <cell r="A32" t="str">
            <v>ASHP</v>
          </cell>
        </row>
        <row r="33">
          <cell r="A33" t="str">
            <v>Electric Resistance</v>
          </cell>
        </row>
        <row r="36">
          <cell r="A36" t="str">
            <v>CAC</v>
          </cell>
        </row>
        <row r="37">
          <cell r="A37" t="str">
            <v>ASHP</v>
          </cell>
        </row>
        <row r="38">
          <cell r="A38" t="str">
            <v>Mini-Split Heat Pump</v>
          </cell>
        </row>
        <row r="39">
          <cell r="A39" t="str">
            <v>Window Unit</v>
          </cell>
        </row>
        <row r="40">
          <cell r="A40" t="str">
            <v>None</v>
          </cell>
        </row>
        <row r="41">
          <cell r="A41" t="str">
            <v>2+ CAC Units</v>
          </cell>
        </row>
        <row r="42">
          <cell r="A42" t="str">
            <v>2+ ASHP Units</v>
          </cell>
        </row>
        <row r="43">
          <cell r="A43" t="str">
            <v>NA</v>
          </cell>
        </row>
      </sheetData>
      <sheetData sheetId="18" refreshError="1"/>
      <sheetData sheetId="1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Work Scope"/>
      <sheetName val="Transmittal Res"/>
      <sheetName val="Transmittal Inc"/>
      <sheetName val="Electrification"/>
      <sheetName val="Health &amp; Safety Form"/>
      <sheetName val="Ancillary Costs"/>
      <sheetName val="Inspection Disclaimers"/>
      <sheetName val="Diagnostic Test Form"/>
      <sheetName val="WNCF Form"/>
      <sheetName val="Change Order Form"/>
      <sheetName val="Home Efficiency - PY23 Pricing"/>
      <sheetName val="Health &amp; Safety - PY23 Pricing"/>
      <sheetName val="Assessment Form"/>
      <sheetName val="HVAC Tier 2 Incentive Table"/>
      <sheetName val="Revision Tracking"/>
      <sheetName val="Measures"/>
      <sheetName val="Lists"/>
      <sheetName val="AF List"/>
      <sheetName val="Reference"/>
      <sheetName val="No Heat For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6">
          <cell r="B6">
            <v>0.95</v>
          </cell>
        </row>
      </sheetData>
      <sheetData sheetId="11" refreshError="1"/>
      <sheetData sheetId="12" refreshError="1"/>
      <sheetData sheetId="13"/>
      <sheetData sheetId="14" refreshError="1"/>
      <sheetData sheetId="15" refreshError="1"/>
      <sheetData sheetId="16">
        <row r="9">
          <cell r="C9" t="str">
            <v>Yes</v>
          </cell>
        </row>
        <row r="10">
          <cell r="C10" t="str">
            <v>No</v>
          </cell>
        </row>
        <row r="11">
          <cell r="C11" t="str">
            <v>NA</v>
          </cell>
        </row>
        <row r="18">
          <cell r="C18" t="str">
            <v>Tank</v>
          </cell>
        </row>
        <row r="19">
          <cell r="C19" t="str">
            <v>On Demand</v>
          </cell>
        </row>
        <row r="20">
          <cell r="C20" t="str">
            <v>Heat Pump</v>
          </cell>
        </row>
        <row r="21">
          <cell r="C21" t="str">
            <v>Other</v>
          </cell>
        </row>
        <row r="22">
          <cell r="C22" t="str">
            <v>NA</v>
          </cell>
        </row>
        <row r="24">
          <cell r="A24" t="str">
            <v>Good</v>
          </cell>
        </row>
        <row r="25">
          <cell r="A25" t="str">
            <v>Fair</v>
          </cell>
        </row>
        <row r="26">
          <cell r="A26" t="str">
            <v>Poor</v>
          </cell>
        </row>
        <row r="27">
          <cell r="A27" t="str">
            <v>Very Poor</v>
          </cell>
        </row>
        <row r="29">
          <cell r="A29" t="str">
            <v>Natural Gas Furnace</v>
          </cell>
        </row>
        <row r="30">
          <cell r="A30" t="str">
            <v>Natural Gas Boiler</v>
          </cell>
        </row>
        <row r="31">
          <cell r="A31" t="str">
            <v>Propane Furnace</v>
          </cell>
        </row>
        <row r="32">
          <cell r="A32" t="str">
            <v>ASHP</v>
          </cell>
        </row>
        <row r="33">
          <cell r="A33" t="str">
            <v>Electric Resistance</v>
          </cell>
        </row>
        <row r="36">
          <cell r="A36" t="str">
            <v>ASHP</v>
          </cell>
        </row>
        <row r="37">
          <cell r="A37" t="str">
            <v>CAC</v>
          </cell>
        </row>
        <row r="38">
          <cell r="A38" t="str">
            <v>Mini-Split Heat Pump</v>
          </cell>
        </row>
        <row r="39">
          <cell r="A39" t="str">
            <v>Window Unit</v>
          </cell>
        </row>
        <row r="40">
          <cell r="A40" t="str">
            <v>2+ CAC Units</v>
          </cell>
        </row>
        <row r="41">
          <cell r="A41" t="str">
            <v>2+ ASHP Units</v>
          </cell>
        </row>
        <row r="42">
          <cell r="A42" t="str">
            <v>NA</v>
          </cell>
        </row>
      </sheetData>
      <sheetData sheetId="17" refreshError="1"/>
      <sheetData sheetId="18" refreshError="1"/>
      <sheetData sheetId="19"/>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
      <sheetName val="Update"/>
      <sheetName val="change history"/>
      <sheetName val="Impacts Review"/>
      <sheetName val="Single Measure Impacts"/>
      <sheetName val="Refg Measure Desc"/>
      <sheetName val="Ltg Measure Desc"/>
      <sheetName val="DefineHVACWeights"/>
      <sheetName val="Weights Library"/>
      <sheetName val="NumHomes"/>
      <sheetName val="Results"/>
      <sheetName val="ARP Adjustments"/>
      <sheetName val="Lookups"/>
      <sheetName val="UES Calcs"/>
      <sheetName val="Engage Ltg Fixture Table"/>
      <sheetName val="GrossSavingsAdj"/>
      <sheetName val="Drop Downs"/>
      <sheetName val="Tech Types"/>
      <sheetName val="Tech Groups"/>
      <sheetName val="Use Sub Category"/>
      <sheetName val="Use Categ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20">
          <cell r="F20" t="str">
            <v>Statewide_Exist_HVAC</v>
          </cell>
          <cell r="G20" t="str">
            <v>NH_STExHVACWts</v>
          </cell>
        </row>
        <row r="21">
          <cell r="F21" t="str">
            <v>Statewide_New_HVAC</v>
          </cell>
          <cell r="G21" t="str">
            <v>NH_STNewHVACWts</v>
          </cell>
        </row>
        <row r="22">
          <cell r="F22" t="str">
            <v>PGE_Exist_HVAC</v>
          </cell>
          <cell r="G22" t="str">
            <v>NH_PGExHVACWts</v>
          </cell>
        </row>
        <row r="23">
          <cell r="F23" t="str">
            <v>PGE_New_HVAC</v>
          </cell>
          <cell r="G23" t="str">
            <v>NH_PGNewHVACWts</v>
          </cell>
        </row>
        <row r="24">
          <cell r="F24" t="str">
            <v>SCE_Exist_HVAC</v>
          </cell>
          <cell r="G24" t="str">
            <v>NH_SCExHVACWts</v>
          </cell>
        </row>
        <row r="25">
          <cell r="F25" t="str">
            <v>SCE_New_HVAC</v>
          </cell>
          <cell r="G25" t="str">
            <v>NH_SCNewHVACWts</v>
          </cell>
        </row>
        <row r="26">
          <cell r="F26" t="str">
            <v>SDGE_Exist_HVAC</v>
          </cell>
          <cell r="G26" t="str">
            <v>NH_SDExHVACWts</v>
          </cell>
        </row>
        <row r="27">
          <cell r="F27" t="str">
            <v>SDGE_New_HVAC</v>
          </cell>
          <cell r="G27" t="str">
            <v>NH_SDNewHVACWts</v>
          </cell>
        </row>
        <row r="28">
          <cell r="F28" t="str">
            <v>SCG_Exist_HVAC</v>
          </cell>
          <cell r="G28" t="str">
            <v>NH_SGExHVACWts</v>
          </cell>
        </row>
        <row r="29">
          <cell r="F29" t="str">
            <v>SCG_New_HVAC</v>
          </cell>
          <cell r="G29" t="str">
            <v>NH_SGNewHVACWts</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
      <sheetName val="Update"/>
      <sheetName val="change history"/>
      <sheetName val="Impacts Review"/>
      <sheetName val="Single Measure Impacts"/>
      <sheetName val="Refg Measure Desc"/>
      <sheetName val="Ltg Measure Desc"/>
      <sheetName val="DefineHVACWeights"/>
      <sheetName val="Weights Library"/>
      <sheetName val="NumHomes"/>
      <sheetName val="Results"/>
      <sheetName val="ARP Adjustments"/>
      <sheetName val="Lookups"/>
      <sheetName val="UES Calcs"/>
      <sheetName val="Engage Ltg Fixture Table"/>
      <sheetName val="GrossSavingsAdj"/>
      <sheetName val="Drop Downs"/>
      <sheetName val="Tech Types"/>
      <sheetName val="Tech Groups"/>
      <sheetName val="Use Sub Category"/>
      <sheetName val="Use Categ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20">
          <cell r="F20" t="str">
            <v>Statewide_Exist_HVAC</v>
          </cell>
          <cell r="G20" t="str">
            <v>NH_STExHVACWts</v>
          </cell>
        </row>
        <row r="21">
          <cell r="F21" t="str">
            <v>Statewide_New_HVAC</v>
          </cell>
          <cell r="G21" t="str">
            <v>NH_STNewHVACWts</v>
          </cell>
        </row>
        <row r="22">
          <cell r="F22" t="str">
            <v>PGE_Exist_HVAC</v>
          </cell>
          <cell r="G22" t="str">
            <v>NH_PGExHVACWts</v>
          </cell>
        </row>
        <row r="23">
          <cell r="F23" t="str">
            <v>PGE_New_HVAC</v>
          </cell>
          <cell r="G23" t="str">
            <v>NH_PGNewHVACWts</v>
          </cell>
        </row>
        <row r="24">
          <cell r="F24" t="str">
            <v>SCE_Exist_HVAC</v>
          </cell>
          <cell r="G24" t="str">
            <v>NH_SCExHVACWts</v>
          </cell>
        </row>
        <row r="25">
          <cell r="F25" t="str">
            <v>SCE_New_HVAC</v>
          </cell>
          <cell r="G25" t="str">
            <v>NH_SCNewHVACWts</v>
          </cell>
        </row>
        <row r="26">
          <cell r="F26" t="str">
            <v>SDGE_Exist_HVAC</v>
          </cell>
          <cell r="G26" t="str">
            <v>NH_SDExHVACWts</v>
          </cell>
        </row>
        <row r="27">
          <cell r="F27" t="str">
            <v>SDGE_New_HVAC</v>
          </cell>
          <cell r="G27" t="str">
            <v>NH_SDNewHVACWts</v>
          </cell>
        </row>
        <row r="28">
          <cell r="F28" t="str">
            <v>SCG_Exist_HVAC</v>
          </cell>
          <cell r="G28" t="str">
            <v>NH_SGExHVACWts</v>
          </cell>
        </row>
        <row r="29">
          <cell r="F29" t="str">
            <v>SCG_New_HVAC</v>
          </cell>
          <cell r="G29" t="str">
            <v>NH_SGNewHVACWts</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Form"/>
      <sheetName val="WS-IncApp"/>
      <sheetName val="Scope of Work"/>
      <sheetName val="Pricing Comparisons"/>
      <sheetName val="Transmittal-JobReview"/>
      <sheetName val="Transmittal-Complete"/>
      <sheetName val="Data"/>
      <sheetName val="Reference"/>
      <sheetName val="List"/>
      <sheetName val="Sheet1"/>
    </sheetNames>
    <sheetDataSet>
      <sheetData sheetId="0"/>
      <sheetData sheetId="1"/>
      <sheetData sheetId="2"/>
      <sheetData sheetId="3"/>
      <sheetData sheetId="4"/>
      <sheetData sheetId="5"/>
      <sheetData sheetId="6"/>
      <sheetData sheetId="7"/>
      <sheetData sheetId="8">
        <row r="2">
          <cell r="E2" t="str">
            <v>Natural</v>
          </cell>
        </row>
        <row r="3">
          <cell r="E3" t="str">
            <v>Power</v>
          </cell>
        </row>
        <row r="4">
          <cell r="E4" t="str">
            <v>Flue Liner</v>
          </cell>
        </row>
        <row r="5">
          <cell r="E5" t="str">
            <v>NA</v>
          </cell>
        </row>
        <row r="7">
          <cell r="E7" t="str">
            <v>Yes</v>
          </cell>
        </row>
        <row r="8">
          <cell r="E8" t="str">
            <v>No</v>
          </cell>
        </row>
        <row r="9">
          <cell r="E9" t="str">
            <v>Will be</v>
          </cell>
        </row>
        <row r="26">
          <cell r="C26" t="str">
            <v>Tank</v>
          </cell>
        </row>
        <row r="27">
          <cell r="C27" t="str">
            <v>On Demand</v>
          </cell>
        </row>
        <row r="28">
          <cell r="C28" t="str">
            <v>Heat Pump</v>
          </cell>
        </row>
        <row r="29">
          <cell r="C29" t="str">
            <v>Other</v>
          </cell>
        </row>
        <row r="30">
          <cell r="C30" t="str">
            <v>NA</v>
          </cell>
        </row>
      </sheetData>
      <sheetData sheetId="9"/>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Q CAA Application"/>
      <sheetName val="IQ CAA Incentive Summary"/>
      <sheetName val="Revision Tracker"/>
      <sheetName val="EnergyAuditTestForm"/>
      <sheetName val="IQ CAA Reference"/>
      <sheetName val="Lists"/>
    </sheetNames>
    <sheetDataSet>
      <sheetData sheetId="0" refreshError="1"/>
      <sheetData sheetId="1" refreshError="1"/>
      <sheetData sheetId="2" refreshError="1"/>
      <sheetData sheetId="3" refreshError="1"/>
      <sheetData sheetId="4">
        <row r="3">
          <cell r="C3" t="str">
            <v>DOE</v>
          </cell>
        </row>
      </sheetData>
      <sheetData sheetId="5">
        <row r="9">
          <cell r="C9" t="str">
            <v>Yes</v>
          </cell>
        </row>
        <row r="10">
          <cell r="C10" t="str">
            <v>No</v>
          </cell>
        </row>
        <row r="11">
          <cell r="C11" t="str">
            <v>NA</v>
          </cell>
        </row>
        <row r="18">
          <cell r="C18" t="str">
            <v>Tank</v>
          </cell>
        </row>
        <row r="19">
          <cell r="C19" t="str">
            <v>On Demand</v>
          </cell>
        </row>
        <row r="20">
          <cell r="C20" t="str">
            <v>Heat Pump</v>
          </cell>
        </row>
        <row r="21">
          <cell r="C21" t="str">
            <v>Other</v>
          </cell>
        </row>
        <row r="22">
          <cell r="C22" t="str">
            <v>NA</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WP"/>
      <sheetName val="Validations"/>
      <sheetName val="WP OTR Default Scenarios"/>
      <sheetName val="Unit Definitions"/>
      <sheetName val="Drop down"/>
    </sheetNames>
    <sheetDataSet>
      <sheetData sheetId="0"/>
      <sheetData sheetId="1" refreshError="1"/>
      <sheetData sheetId="2"/>
      <sheetData sheetId="3" refreshError="1"/>
      <sheetData sheetId="4"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WP"/>
      <sheetName val="Validations"/>
      <sheetName val="WP OTR Default Scenarios"/>
      <sheetName val="Unit Definitions"/>
      <sheetName val="Drop down"/>
    </sheetNames>
    <sheetDataSet>
      <sheetData sheetId="0"/>
      <sheetData sheetId="1" refreshError="1"/>
      <sheetData sheetId="2"/>
      <sheetData sheetId="3" refreshError="1"/>
      <sheetData sheetId="4"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Limited Fuel Switching"/>
      <sheetName val="Dashboard_FS"/>
      <sheetName val="Dashboard_EE"/>
      <sheetName val="Form Lookups"/>
      <sheetName val="Heating and Cooling Zip Codes"/>
      <sheetName val="Algorithms_FS"/>
      <sheetName val="Sheet1"/>
      <sheetName val="Backup_FS"/>
      <sheetName val="Algorithms_EE"/>
      <sheetName val="Backup_EE"/>
      <sheetName val="CZ Inputs"/>
      <sheetName val="Rates -&gt;"/>
      <sheetName val="Electric Rates"/>
      <sheetName val="Gas Rates"/>
      <sheetName val="Rate Sheet Input"/>
    </sheetNames>
    <sheetDataSet>
      <sheetData sheetId="0">
        <row r="13">
          <cell r="N13">
            <v>0</v>
          </cell>
        </row>
        <row r="25">
          <cell r="P25" t="str">
            <v>Natural Gas</v>
          </cell>
          <cell r="U25" t="str">
            <v>Heat Pump Water Heater</v>
          </cell>
        </row>
        <row r="26">
          <cell r="P26" t="str">
            <v>Natural Gas</v>
          </cell>
        </row>
      </sheetData>
      <sheetData sheetId="1">
        <row r="3">
          <cell r="K3" t="e">
            <v>#N/A</v>
          </cell>
          <cell r="O3">
            <v>0</v>
          </cell>
        </row>
        <row r="4">
          <cell r="O4">
            <v>0</v>
          </cell>
        </row>
        <row r="5">
          <cell r="O5">
            <v>0</v>
          </cell>
        </row>
        <row r="6">
          <cell r="K6" t="e">
            <v>#REF!</v>
          </cell>
          <cell r="O6">
            <v>0</v>
          </cell>
        </row>
        <row r="7">
          <cell r="K7">
            <v>0</v>
          </cell>
          <cell r="O7">
            <v>0</v>
          </cell>
        </row>
        <row r="8">
          <cell r="K8" t="e">
            <v>#REF!</v>
          </cell>
          <cell r="O8">
            <v>0</v>
          </cell>
        </row>
        <row r="9">
          <cell r="K9" t="e">
            <v>#REF!</v>
          </cell>
          <cell r="O9">
            <v>0</v>
          </cell>
        </row>
        <row r="10">
          <cell r="G10" t="str">
            <v>Partial</v>
          </cell>
          <cell r="K10" t="e">
            <v>#REF!</v>
          </cell>
          <cell r="O10">
            <v>0</v>
          </cell>
        </row>
        <row r="11">
          <cell r="O11">
            <v>1</v>
          </cell>
        </row>
        <row r="12">
          <cell r="O12">
            <v>3</v>
          </cell>
        </row>
        <row r="13">
          <cell r="K13" t="e">
            <v>#REF!</v>
          </cell>
        </row>
        <row r="14">
          <cell r="K14" t="e">
            <v>#REF!</v>
          </cell>
        </row>
        <row r="15">
          <cell r="K15" t="e">
            <v>#REF!</v>
          </cell>
          <cell r="O15">
            <v>0</v>
          </cell>
          <cell r="P15">
            <v>0</v>
          </cell>
        </row>
        <row r="16">
          <cell r="K16" t="e">
            <v>#REF!</v>
          </cell>
          <cell r="O16">
            <v>0</v>
          </cell>
          <cell r="P16">
            <v>0</v>
          </cell>
        </row>
        <row r="17">
          <cell r="O17">
            <v>1</v>
          </cell>
          <cell r="P17">
            <v>0</v>
          </cell>
        </row>
        <row r="19">
          <cell r="K19" t="str">
            <v>Yes</v>
          </cell>
          <cell r="O19">
            <v>1</v>
          </cell>
          <cell r="P19">
            <v>0</v>
          </cell>
        </row>
        <row r="20">
          <cell r="O20">
            <v>1</v>
          </cell>
          <cell r="P20">
            <v>0</v>
          </cell>
        </row>
        <row r="21">
          <cell r="O21">
            <v>1</v>
          </cell>
          <cell r="P21">
            <v>0</v>
          </cell>
        </row>
      </sheetData>
      <sheetData sheetId="2">
        <row r="3">
          <cell r="K3" t="e">
            <v>#N/A</v>
          </cell>
        </row>
      </sheetData>
      <sheetData sheetId="3" refreshError="1"/>
      <sheetData sheetId="4"/>
      <sheetData sheetId="5">
        <row r="1">
          <cell r="A1" t="str">
            <v>Key</v>
          </cell>
          <cell r="F1" t="str">
            <v>Value</v>
          </cell>
        </row>
        <row r="2">
          <cell r="A2" t="str">
            <v>Residential_HVAC_Furnace_EFLH</v>
          </cell>
          <cell r="F2" t="e">
            <v>#N/A</v>
          </cell>
        </row>
        <row r="3">
          <cell r="A3" t="str">
            <v>Residential_HVAC_Air-Source Heat Pump_Capacity_ASHPheat (Btuh_Existing)</v>
          </cell>
          <cell r="F3" t="e">
            <v>#REF!</v>
          </cell>
        </row>
        <row r="4">
          <cell r="A4" t="str">
            <v>Residential_HVAC_Air-Source Heat Pump_Heat Load Factor</v>
          </cell>
          <cell r="F4" t="e">
            <v>#N/A</v>
          </cell>
        </row>
        <row r="5">
          <cell r="A5" t="str">
            <v>Residential_HVAC_Air-Source Heat Pump_HeatLoad_Disp</v>
          </cell>
          <cell r="F5" t="e">
            <v>#N/A</v>
          </cell>
        </row>
        <row r="6">
          <cell r="A6" t="str">
            <v>Residential_HVAC_Air-Source Heat Pump_DuctlessSave</v>
          </cell>
          <cell r="F6">
            <v>1</v>
          </cell>
        </row>
        <row r="7">
          <cell r="A7" t="str">
            <v>Residential_HVAC_Air-Source Heat Pump_AFUEbase</v>
          </cell>
          <cell r="F7" t="e">
            <v>#REF!</v>
          </cell>
        </row>
        <row r="8">
          <cell r="A8" t="str">
            <v>Residential_HVAC_Air-Source Heat Pump_1000000</v>
          </cell>
          <cell r="F8">
            <v>1000000</v>
          </cell>
        </row>
        <row r="9">
          <cell r="A9" t="str">
            <v>Residential_HVAC_Air-Source Heat Pump_GasHeatReplaced</v>
          </cell>
          <cell r="F9" t="e">
            <v>#N/A</v>
          </cell>
        </row>
        <row r="10">
          <cell r="A10" t="str">
            <v>Residential_HVAC_Air-Source Heat Pump_FurnaceFlag</v>
          </cell>
          <cell r="F10">
            <v>1</v>
          </cell>
        </row>
        <row r="11">
          <cell r="A11" t="str">
            <v>Residential_HVAC_Furnace_EFLH</v>
          </cell>
          <cell r="F11" t="e">
            <v>#N/A</v>
          </cell>
        </row>
        <row r="12">
          <cell r="A12" t="str">
            <v>Residential_HVAC_Air-Source Heat Pump_Capacity_ASHPheat</v>
          </cell>
          <cell r="F12" t="e">
            <v>#REF!</v>
          </cell>
        </row>
        <row r="13">
          <cell r="A13" t="str">
            <v>Residential_HVAC_Air-Source Heat Pump_Heat Load Factor</v>
          </cell>
          <cell r="F13" t="e">
            <v>#N/A</v>
          </cell>
        </row>
        <row r="14">
          <cell r="A14" t="str">
            <v>Residential_HVAC_Air-Source Heat Pump_HeatLoad_Disp</v>
          </cell>
          <cell r="F14" t="e">
            <v>#N/A</v>
          </cell>
        </row>
        <row r="15">
          <cell r="A15" t="str">
            <v>Residential_HVAC_Air-Source Heat Pump_DuctlessSave</v>
          </cell>
          <cell r="F15">
            <v>1</v>
          </cell>
        </row>
        <row r="16">
          <cell r="A16" t="str">
            <v>Residential_HVAC_Air-Source Heat Pump_AFUEbase</v>
          </cell>
          <cell r="F16" t="e">
            <v>#REF!</v>
          </cell>
        </row>
        <row r="17">
          <cell r="A17" t="str">
            <v>Residential_HVAC_Air-Source Heat Pump_Fe</v>
          </cell>
          <cell r="F17">
            <v>1.8799999999999997E-2</v>
          </cell>
        </row>
        <row r="18">
          <cell r="A18" t="str">
            <v>Residential_HVAC_Air-Source Heat Pump_1000000</v>
          </cell>
          <cell r="F18">
            <v>1000000</v>
          </cell>
        </row>
        <row r="19">
          <cell r="A19" t="str">
            <v>Residential_HVAC_Air-Source Heat Pump_FurnaceFanSavings</v>
          </cell>
          <cell r="F19" t="e">
            <v>#N/A</v>
          </cell>
        </row>
        <row r="20">
          <cell r="A20" t="str">
            <v>Residential_HVAC_Air-Source Heat Pump_FLH_ASHPheat</v>
          </cell>
          <cell r="F20" t="e">
            <v>#N/A</v>
          </cell>
        </row>
        <row r="21">
          <cell r="A21" t="str">
            <v>Residential_HVAC_Air-Source Heat Pump_Capacity_ASHPheat</v>
          </cell>
          <cell r="F21" t="e">
            <v>#REF!</v>
          </cell>
        </row>
        <row r="22">
          <cell r="A22" t="str">
            <v>Residential_HVAC_Air-Source Heat Pump_Heat Load Factor</v>
          </cell>
          <cell r="F22" t="e">
            <v>#N/A</v>
          </cell>
        </row>
        <row r="23">
          <cell r="A23" t="str">
            <v>Residential_HVAC_Air-Source Heat Pump_HeatLoad_Disp</v>
          </cell>
          <cell r="F23" t="e">
            <v>#N/A</v>
          </cell>
        </row>
        <row r="24">
          <cell r="A24" t="str">
            <v>Residential_HVAC_Air-Source Heat Pump_HSPF2_ee</v>
          </cell>
          <cell r="F24" t="e">
            <v>#REF!</v>
          </cell>
        </row>
        <row r="25">
          <cell r="A25" t="str">
            <v>Residential_HVAC_Air-Source Heat Pump_HSPF2_ClimateAdj</v>
          </cell>
          <cell r="F25">
            <v>1</v>
          </cell>
        </row>
        <row r="26">
          <cell r="A26" t="str">
            <v>Residential_HVAC_Air-Source Heat Pump_PD_Adj</v>
          </cell>
          <cell r="F26" t="e">
            <v>#N/A</v>
          </cell>
        </row>
        <row r="27">
          <cell r="A27" t="str">
            <v>Residential_HVAC_Air-Source Heat Pump_DeratingHeatEff</v>
          </cell>
          <cell r="F27">
            <v>0.1</v>
          </cell>
        </row>
        <row r="28">
          <cell r="A28" t="str">
            <v>Residential_HVAC_Air-Source Heat Pump_1000</v>
          </cell>
          <cell r="F28">
            <v>1000</v>
          </cell>
        </row>
        <row r="29">
          <cell r="A29" t="str">
            <v>Residential_HVAC_Air-Source Heat Pump_3412</v>
          </cell>
          <cell r="F29">
            <v>3412</v>
          </cell>
        </row>
        <row r="30">
          <cell r="A30" t="str">
            <v>Residential_HVAC_Air-Source Heat Pump_1000000</v>
          </cell>
          <cell r="F30">
            <v>1000000</v>
          </cell>
        </row>
        <row r="31">
          <cell r="A31" t="str">
            <v>Residential_HVAC_Air-Source Heat Pump_ASHPSiteHeatConsumed</v>
          </cell>
          <cell r="F31" t="e">
            <v>#N/A</v>
          </cell>
        </row>
        <row r="32">
          <cell r="A32" t="str">
            <v>Residential_HVAC_Air-Source Heat Pump_FLHcool</v>
          </cell>
          <cell r="F32" t="e">
            <v>#N/A</v>
          </cell>
        </row>
        <row r="33">
          <cell r="A33" t="str">
            <v>Residential_HVAC_Air-Source Heat Pump_Capacity_ASHPcool</v>
          </cell>
          <cell r="F33" t="e">
            <v>#REF!</v>
          </cell>
        </row>
        <row r="34">
          <cell r="A34" t="str">
            <v>Residential_HVAC_Air-Source Heat Pump_CoolingLoad</v>
          </cell>
          <cell r="F34" t="e">
            <v>#N/A</v>
          </cell>
        </row>
        <row r="35">
          <cell r="A35" t="str">
            <v>Residential_HVAC_Air-Source Heat Pump_DuctlessSave</v>
          </cell>
          <cell r="F35">
            <v>1</v>
          </cell>
        </row>
        <row r="36">
          <cell r="A36" t="str">
            <v>Residential_HVAC_Air-Source Heat Pump_SEER2_base</v>
          </cell>
          <cell r="F36" t="e">
            <v>#REF!</v>
          </cell>
        </row>
        <row r="37">
          <cell r="A37" t="str">
            <v>Residential_HVAC_Air-Source Heat Pump_DeratingCoolBase</v>
          </cell>
          <cell r="F37">
            <v>0.1</v>
          </cell>
        </row>
        <row r="38">
          <cell r="A38" t="str">
            <v>Residential_HVAC_Air-Source Heat Pump_SEER2_ee</v>
          </cell>
          <cell r="F38" t="e">
            <v>#REF!</v>
          </cell>
        </row>
        <row r="39">
          <cell r="A39" t="str">
            <v>Residential_HVAC_Air-Source Heat Pump_DeratingCoolEff</v>
          </cell>
          <cell r="F39">
            <v>0.1</v>
          </cell>
        </row>
        <row r="40">
          <cell r="A40" t="str">
            <v>Residential_HVAC_Air-Source Heat Pump_1000</v>
          </cell>
          <cell r="F40">
            <v>1000</v>
          </cell>
        </row>
        <row r="41">
          <cell r="A41" t="str">
            <v>Residential_HVAC_Air-Source Heat Pump_3412</v>
          </cell>
          <cell r="F41">
            <v>3412</v>
          </cell>
        </row>
        <row r="42">
          <cell r="A42" t="str">
            <v>Residential_HVAC_Air-Source Heat Pump_1000000</v>
          </cell>
          <cell r="F42">
            <v>1000000</v>
          </cell>
        </row>
        <row r="43">
          <cell r="A43" t="str">
            <v>Residential_HVAC_Air-Source Heat Pump_ASHPSiteCoolingImpact</v>
          </cell>
          <cell r="F43" t="e">
            <v>#N/A</v>
          </cell>
        </row>
        <row r="44">
          <cell r="A44" t="str">
            <v>Residential_HVAC_Air-Source Heat Pump_BTU_NewSiteCoolingImpact</v>
          </cell>
          <cell r="F44" t="e">
            <v>#N/A</v>
          </cell>
        </row>
        <row r="45">
          <cell r="A45" t="str">
            <v>Residential_HVAC_Air-Source Heat Pump_SiteEnergySavings (MMBTUs)</v>
          </cell>
          <cell r="F45" t="e">
            <v>#N/A</v>
          </cell>
        </row>
        <row r="46">
          <cell r="A46" t="str">
            <v>Residential_HVAC_Air-Source Heat Pump_Capacity_cooling</v>
          </cell>
          <cell r="F46">
            <v>36000</v>
          </cell>
        </row>
        <row r="47">
          <cell r="A47" t="str">
            <v>Residential_HVAC_Air-Source Heat Pump_EER_base</v>
          </cell>
          <cell r="F47">
            <v>10.5</v>
          </cell>
        </row>
        <row r="48">
          <cell r="A48" t="str">
            <v>Residential_HVAC_Air-Source Heat Pump_DeratingCoolBase</v>
          </cell>
          <cell r="F48">
            <v>0.1</v>
          </cell>
        </row>
        <row r="49">
          <cell r="A49" t="str">
            <v>Residential_HVAC_Air-Source Heat Pump_EER_ee</v>
          </cell>
          <cell r="F49">
            <v>12.5</v>
          </cell>
        </row>
        <row r="50">
          <cell r="A50" t="str">
            <v>Residential_HVAC_Air-Source Heat Pump_DeratingCoolEff</v>
          </cell>
          <cell r="F50">
            <v>0.1</v>
          </cell>
        </row>
        <row r="51">
          <cell r="A51" t="str">
            <v>Residential_HVAC_Air-Source Heat Pump_1000</v>
          </cell>
          <cell r="F51">
            <v>1000</v>
          </cell>
        </row>
        <row r="52">
          <cell r="A52" t="str">
            <v>Residential_HVAC_Air-Source Heat Pump_CF</v>
          </cell>
          <cell r="F52">
            <v>0.72</v>
          </cell>
        </row>
        <row r="53">
          <cell r="A53" t="str">
            <v>Residential_HVAC_Air-Source Heat Pump_Delta_kW</v>
          </cell>
          <cell r="F53">
            <v>0.43885714285714256</v>
          </cell>
        </row>
        <row r="54">
          <cell r="A54" t="str">
            <v>Residential_HVAC_Air-Source Heat Pump_kWh Saved per Unit</v>
          </cell>
          <cell r="F54" t="e">
            <v>#N/A</v>
          </cell>
        </row>
        <row r="55">
          <cell r="A55" t="str">
            <v>Residential_HVAC_Air-Source Heat Pump_Coincident Peak kW Saved per Unit</v>
          </cell>
          <cell r="F55">
            <v>0.43885714285714256</v>
          </cell>
        </row>
        <row r="56">
          <cell r="A56" t="str">
            <v>Residential_HVAC_Air-Source Heat Pump_Propane Gal Saved per Unit</v>
          </cell>
          <cell r="F56" t="e">
            <v>#N/A</v>
          </cell>
        </row>
        <row r="57">
          <cell r="A57" t="str">
            <v>Residential_HVAC_Air-Source Heat Pump_Lifetime (years)</v>
          </cell>
          <cell r="F57">
            <v>16</v>
          </cell>
        </row>
        <row r="58">
          <cell r="A58" t="str">
            <v>Residential_HVAC_Air-Source Heat Pump_Incremental Cost</v>
          </cell>
          <cell r="F58">
            <v>12500</v>
          </cell>
        </row>
        <row r="59">
          <cell r="A59" t="str">
            <v>Residential_HVAC_Air-Source Heat Pump_BTU Impact_Existing_Fossil Fuel</v>
          </cell>
          <cell r="F59" t="e">
            <v>#N/A</v>
          </cell>
        </row>
        <row r="60">
          <cell r="A60" t="str">
            <v>Residential_HVAC_Air-Source Heat Pump_BTU Impact_Existing_Winter Electricity</v>
          </cell>
          <cell r="F60" t="e">
            <v>#N/A</v>
          </cell>
        </row>
        <row r="61">
          <cell r="A61" t="str">
            <v>Residential_HVAC_Air-Source Heat Pump_BTU Impact_Existing_Summer Electricity</v>
          </cell>
          <cell r="F61" t="e">
            <v>#N/A</v>
          </cell>
        </row>
        <row r="62">
          <cell r="A62" t="str">
            <v>Residential_HVAC_Air-Source Heat Pump_BTU Impact_New_Fossil Fuel</v>
          </cell>
          <cell r="F62">
            <v>0</v>
          </cell>
        </row>
        <row r="63">
          <cell r="A63" t="str">
            <v>Residential_HVAC_Air-Source Heat Pump_BTU Impact_New_Winter Electricity</v>
          </cell>
          <cell r="F63" t="e">
            <v>#N/A</v>
          </cell>
        </row>
        <row r="64">
          <cell r="A64" t="str">
            <v>Residential_HVAC_Air-Source Heat Pump_BTU Impact_New_Summer Electricity</v>
          </cell>
          <cell r="F64" t="e">
            <v>#N/A</v>
          </cell>
        </row>
        <row r="65">
          <cell r="A65" t="str">
            <v>Residential_HVAC_Air-Source Heat Pump_</v>
          </cell>
        </row>
        <row r="66">
          <cell r="A66" t="str">
            <v>Residential_HVAC_Boiler_EFLH</v>
          </cell>
          <cell r="F66" t="e">
            <v>#N/A</v>
          </cell>
        </row>
        <row r="67">
          <cell r="A67" t="str">
            <v>Residential_HVAC_Ductless Heat Pump_Capacity_DMSHPheat (Btuh_Existing)</v>
          </cell>
          <cell r="F67" t="e">
            <v>#REF!</v>
          </cell>
        </row>
        <row r="68">
          <cell r="A68" t="str">
            <v>Residential_HVAC_Ductless Heat Pump_Heat Load Factor</v>
          </cell>
          <cell r="F68" t="e">
            <v>#N/A</v>
          </cell>
        </row>
        <row r="69">
          <cell r="A69" t="str">
            <v>Residential_HVAC_Ductless Heat Pump_HeatLoad_Disp</v>
          </cell>
          <cell r="F69" t="e">
            <v>#N/A</v>
          </cell>
        </row>
        <row r="70">
          <cell r="A70" t="str">
            <v>Residential_HVAC_Ductless Heat Pump_DuctlessSave</v>
          </cell>
          <cell r="F70">
            <v>1</v>
          </cell>
        </row>
        <row r="71">
          <cell r="A71" t="str">
            <v>Residential_HVAC_Ductless Heat Pump_AFUEbase</v>
          </cell>
          <cell r="F71" t="e">
            <v>#REF!</v>
          </cell>
        </row>
        <row r="72">
          <cell r="A72" t="str">
            <v>Residential_HVAC_Ductless Heat Pump_1000000</v>
          </cell>
          <cell r="F72">
            <v>1000000</v>
          </cell>
        </row>
        <row r="73">
          <cell r="A73" t="str">
            <v>Residential_HVAC_Ductless Heat Pump_GasHeatReplaced</v>
          </cell>
          <cell r="F73" t="e">
            <v>#N/A</v>
          </cell>
        </row>
        <row r="74">
          <cell r="A74" t="str">
            <v>Residential_HVAC_Ductless Heat Pump_FurnaceFlag</v>
          </cell>
          <cell r="F74">
            <v>0</v>
          </cell>
        </row>
        <row r="75">
          <cell r="A75" t="str">
            <v>Residential_HVAC_Furnace_EFLH</v>
          </cell>
          <cell r="F75" t="e">
            <v>#N/A</v>
          </cell>
        </row>
        <row r="76">
          <cell r="A76" t="str">
            <v>Residential_HVAC_Ductless Heat Pump_Capacity_DMSHPheat</v>
          </cell>
          <cell r="F76" t="e">
            <v>#REF!</v>
          </cell>
        </row>
        <row r="77">
          <cell r="A77" t="str">
            <v>Residential_HVAC_Ductless Heat Pump_Heat Load Factor</v>
          </cell>
          <cell r="F77" t="e">
            <v>#N/A</v>
          </cell>
        </row>
        <row r="78">
          <cell r="A78" t="str">
            <v>Residential_HVAC_Ductless Heat Pump_HeatLoad_Disp</v>
          </cell>
          <cell r="F78" t="e">
            <v>#N/A</v>
          </cell>
        </row>
        <row r="79">
          <cell r="A79" t="str">
            <v>Residential_HVAC_Ductless Heat Pump_DuctlessSave</v>
          </cell>
          <cell r="F79">
            <v>1</v>
          </cell>
        </row>
        <row r="80">
          <cell r="A80" t="str">
            <v>Residential_HVAC_Ductless Heat Pump_AFUEbase</v>
          </cell>
          <cell r="F80" t="e">
            <v>#REF!</v>
          </cell>
        </row>
        <row r="81">
          <cell r="A81" t="str">
            <v>Residential_HVAC_Ductless Heat Pump_Fe</v>
          </cell>
          <cell r="F81">
            <v>1.8799999999999997E-2</v>
          </cell>
        </row>
        <row r="82">
          <cell r="A82" t="str">
            <v>Residential_HVAC_Ductless Heat Pump_1000000</v>
          </cell>
          <cell r="F82">
            <v>1000000</v>
          </cell>
        </row>
        <row r="83">
          <cell r="A83" t="str">
            <v>Residential_HVAC_Ductless Heat Pump_FurnaceFanSavings</v>
          </cell>
          <cell r="F83" t="e">
            <v>#N/A</v>
          </cell>
        </row>
        <row r="84">
          <cell r="A84" t="str">
            <v>Residential_HVAC_Ductless Heat Pump_EFLHheat_DMSHP</v>
          </cell>
          <cell r="F84" t="e">
            <v>#N/A</v>
          </cell>
        </row>
        <row r="85">
          <cell r="A85" t="str">
            <v>Residential_HVAC_Ductless Heat Pump_Capacity_DMSHPheat</v>
          </cell>
          <cell r="F85" t="e">
            <v>#REF!</v>
          </cell>
        </row>
        <row r="86">
          <cell r="A86" t="str">
            <v>Residential_HVAC_Ductless Heat Pump_Heat Load Factor</v>
          </cell>
          <cell r="F86" t="e">
            <v>#N/A</v>
          </cell>
        </row>
        <row r="87">
          <cell r="A87" t="str">
            <v>Residential_HVAC_Ductless Heat Pump_HeatLoad_Disp</v>
          </cell>
          <cell r="F87" t="e">
            <v>#N/A</v>
          </cell>
        </row>
        <row r="88">
          <cell r="A88" t="str">
            <v>Residential_HVAC_Ductless Heat Pump_HeatLoadFactorelec</v>
          </cell>
          <cell r="F88">
            <v>1</v>
          </cell>
        </row>
        <row r="89">
          <cell r="A89" t="str">
            <v>Residential_HVAC_Ductless Heat Pump_HSPF2_ee</v>
          </cell>
          <cell r="F89" t="e">
            <v>#REF!</v>
          </cell>
        </row>
        <row r="90">
          <cell r="A90" t="str">
            <v>Residential_HVAC_Ductless Heat Pump_HSPF2_ClimateAdj</v>
          </cell>
          <cell r="F90">
            <v>1</v>
          </cell>
        </row>
        <row r="91">
          <cell r="A91" t="str">
            <v>Residential_HVAC_Ductless Heat Pump_PD_Adj</v>
          </cell>
          <cell r="F91" t="e">
            <v>#N/A</v>
          </cell>
        </row>
        <row r="92">
          <cell r="A92" t="str">
            <v>Residential_HVAC_Ductless Heat Pump_DeratingHeatEff</v>
          </cell>
          <cell r="F92">
            <v>0.1</v>
          </cell>
        </row>
        <row r="93">
          <cell r="A93" t="str">
            <v>Residential_HVAC_Ductless Heat Pump_1000</v>
          </cell>
          <cell r="F93">
            <v>1000</v>
          </cell>
        </row>
        <row r="94">
          <cell r="A94" t="str">
            <v>Residential_HVAC_Ductless Heat Pump_3412</v>
          </cell>
          <cell r="F94">
            <v>3412</v>
          </cell>
        </row>
        <row r="95">
          <cell r="A95" t="str">
            <v>Residential_HVAC_Ductless Heat Pump_1000000</v>
          </cell>
          <cell r="F95">
            <v>1000000</v>
          </cell>
        </row>
        <row r="96">
          <cell r="A96" t="str">
            <v>Residential_HVAC_Ductless Heat Pump_DMSHPSiteHeatConsumed</v>
          </cell>
          <cell r="F96" t="e">
            <v>#N/A</v>
          </cell>
        </row>
        <row r="97">
          <cell r="A97" t="str">
            <v>Residential_HVAC_Ductless Heat Pump_EFLHcool</v>
          </cell>
          <cell r="F97" t="e">
            <v>#N/A</v>
          </cell>
        </row>
        <row r="98">
          <cell r="A98" t="str">
            <v>Residential_HVAC_Ductless Heat Pump_Capacity_DMSHPcool</v>
          </cell>
          <cell r="F98" t="e">
            <v>#REF!</v>
          </cell>
        </row>
        <row r="99">
          <cell r="A99" t="str">
            <v>Residential_HVAC_Ductless Heat Pump_CoolingLoad</v>
          </cell>
          <cell r="F99" t="e">
            <v>#N/A</v>
          </cell>
        </row>
        <row r="100">
          <cell r="A100" t="str">
            <v>Residential_HVAC_Ductless Heat Pump_DuctlessSave</v>
          </cell>
          <cell r="F100">
            <v>1</v>
          </cell>
        </row>
        <row r="101">
          <cell r="A101" t="str">
            <v>Residential_HVAC_Ductless Heat Pump_SEER2_base</v>
          </cell>
          <cell r="F101" t="e">
            <v>#REF!</v>
          </cell>
        </row>
        <row r="102">
          <cell r="A102" t="str">
            <v>Residential_HVAC_Ductless Heat Pump_DeratingCoolBase</v>
          </cell>
          <cell r="F102">
            <v>0.1</v>
          </cell>
        </row>
        <row r="103">
          <cell r="A103" t="str">
            <v>Residential_HVAC_Ductless Heat Pump_SEER2_ee</v>
          </cell>
          <cell r="F103" t="e">
            <v>#REF!</v>
          </cell>
        </row>
        <row r="104">
          <cell r="A104" t="str">
            <v>Residential_HVAC_Ductless Heat Pump_DeratingCoolEff</v>
          </cell>
          <cell r="F104">
            <v>0.1</v>
          </cell>
        </row>
        <row r="105">
          <cell r="A105" t="str">
            <v>Residential_HVAC_Ductless Heat Pump_1000</v>
          </cell>
          <cell r="F105">
            <v>1000</v>
          </cell>
        </row>
        <row r="106">
          <cell r="A106" t="str">
            <v>Residential_HVAC_Ductless Heat Pump_3412</v>
          </cell>
          <cell r="F106">
            <v>3412</v>
          </cell>
        </row>
        <row r="107">
          <cell r="A107" t="str">
            <v>Residential_HVAC_Ductless Heat Pump_1000000</v>
          </cell>
          <cell r="F107">
            <v>1000000</v>
          </cell>
        </row>
        <row r="108">
          <cell r="A108" t="str">
            <v>Residential_HVAC_Ductless Heat Pump_DMSHPSiteCoolingImpact</v>
          </cell>
          <cell r="F108" t="e">
            <v>#N/A</v>
          </cell>
        </row>
        <row r="109">
          <cell r="A109" t="str">
            <v>Residential_HVAC_Ductless Heat Pump_SiteEnergySavings (MMBTUs)</v>
          </cell>
          <cell r="F109" t="e">
            <v>#N/A</v>
          </cell>
        </row>
        <row r="110">
          <cell r="A110" t="str">
            <v>Residential_HVAC_Ductless Heat Pump_Capacitycool</v>
          </cell>
          <cell r="F110">
            <v>36000</v>
          </cell>
        </row>
        <row r="111">
          <cell r="A111" t="str">
            <v>Residential_HVAC_Ductless Heat Pump_EER_base</v>
          </cell>
          <cell r="F111">
            <v>10.5</v>
          </cell>
        </row>
        <row r="112">
          <cell r="A112" t="str">
            <v>Residential_HVAC_Ductless Heat Pump_EER_ee</v>
          </cell>
          <cell r="F112">
            <v>12.5</v>
          </cell>
        </row>
        <row r="113">
          <cell r="A113" t="str">
            <v>Residential_HVAC_Ductless Heat Pump_1000</v>
          </cell>
          <cell r="F113">
            <v>1000</v>
          </cell>
        </row>
        <row r="114">
          <cell r="A114" t="str">
            <v>Residential_HVAC_Ductless Heat Pump_CF</v>
          </cell>
          <cell r="F114">
            <v>0.72</v>
          </cell>
        </row>
        <row r="115">
          <cell r="A115" t="str">
            <v>Residential_HVAC_Ductless Heat Pump_Delta_kW</v>
          </cell>
          <cell r="F115">
            <v>0.39497142857142842</v>
          </cell>
        </row>
        <row r="116">
          <cell r="A116" t="str">
            <v>Residential_HVAC_Ductless Heat Pump_kWh Saved per Unit</v>
          </cell>
          <cell r="F116" t="e">
            <v>#N/A</v>
          </cell>
        </row>
        <row r="117">
          <cell r="A117" t="str">
            <v>Residential_HVAC_Ductless Heat Pump_Coincident Peak kW Saved per Unit</v>
          </cell>
          <cell r="F117">
            <v>0.39497142857142842</v>
          </cell>
        </row>
        <row r="118">
          <cell r="A118" t="str">
            <v>Residential_HVAC_Ductless Heat Pump_Propane Gal Saved per Unit</v>
          </cell>
          <cell r="F118" t="e">
            <v>#N/A</v>
          </cell>
        </row>
        <row r="119">
          <cell r="A119" t="str">
            <v>Residential_HVAC_Ductless Heat Pump_Lifetime (years)</v>
          </cell>
          <cell r="F119">
            <v>16</v>
          </cell>
        </row>
        <row r="120">
          <cell r="A120" t="str">
            <v>Residential_HVAC_Ductless Heat Pump_Incremental Cost</v>
          </cell>
          <cell r="F120" t="e">
            <v>#REF!</v>
          </cell>
        </row>
        <row r="121">
          <cell r="A121" t="str">
            <v>Residential_HVAC_Ductless Heat Pump_BTU Impact_Existing_Fossil Fuel</v>
          </cell>
          <cell r="F121" t="e">
            <v>#N/A</v>
          </cell>
        </row>
        <row r="122">
          <cell r="A122" t="str">
            <v>Residential_HVAC_Ductless Heat Pump_BTU Impact_Existing_Winter Electricity</v>
          </cell>
          <cell r="F122" t="e">
            <v>#N/A</v>
          </cell>
        </row>
        <row r="123">
          <cell r="A123" t="str">
            <v>Residential_HVAC_Ductless Heat Pump_BTU Impact_Existing_Summer Electricity</v>
          </cell>
          <cell r="F123" t="e">
            <v>#N/A</v>
          </cell>
        </row>
        <row r="124">
          <cell r="A124" t="str">
            <v>Residential_HVAC_Ductless Heat Pump_BTU Impact_New_Fossil Fuel</v>
          </cell>
          <cell r="F124">
            <v>0</v>
          </cell>
        </row>
        <row r="125">
          <cell r="A125" t="str">
            <v>Residential_HVAC_Ductless Heat Pump_BTU Impact_New_Winter Electricity</v>
          </cell>
          <cell r="F125" t="e">
            <v>#N/A</v>
          </cell>
        </row>
        <row r="126">
          <cell r="A126" t="str">
            <v>Residential_HVAC_Ductless Heat Pump_BTU Impact_New_Summer Electricity</v>
          </cell>
          <cell r="F126" t="e">
            <v>#N/A</v>
          </cell>
        </row>
        <row r="127">
          <cell r="A127" t="str">
            <v>Residential_HVAC_Ductless Heat Pump_</v>
          </cell>
        </row>
        <row r="128">
          <cell r="A128" t="str">
            <v>Residential_HVAC_Furnace_EFLH</v>
          </cell>
          <cell r="F128" t="e">
            <v>#N/A</v>
          </cell>
        </row>
        <row r="129">
          <cell r="A129" t="str">
            <v>Residential_HVAC_Ground Source Heat Pump_Capacity_ASHPheat (Btuh_Existing)</v>
          </cell>
          <cell r="F129" t="e">
            <v>#REF!</v>
          </cell>
        </row>
        <row r="130">
          <cell r="A130" t="str">
            <v>Residential_HVAC_Ground Source Heat Pump_HeatLoad</v>
          </cell>
          <cell r="F130" t="e">
            <v>#N/A</v>
          </cell>
        </row>
        <row r="131">
          <cell r="A131" t="str">
            <v>Residential_HVAC_Ground Source Heat Pump_AFUEbase</v>
          </cell>
          <cell r="F131" t="e">
            <v>#REF!</v>
          </cell>
        </row>
        <row r="132">
          <cell r="A132" t="str">
            <v>Residential_HVAC_Ground Source Heat Pump_1000000</v>
          </cell>
          <cell r="F132">
            <v>1000000</v>
          </cell>
        </row>
        <row r="133">
          <cell r="A133" t="str">
            <v>Residential_HVAC_Ground Source Heat Pump_GasHeatReplaced</v>
          </cell>
          <cell r="F133" t="e">
            <v>#N/A</v>
          </cell>
        </row>
        <row r="134">
          <cell r="A134" t="str">
            <v>Residential_HVAC_Ground Source Heat Pump_FurnaceFlag</v>
          </cell>
          <cell r="F134">
            <v>1</v>
          </cell>
        </row>
        <row r="135">
          <cell r="A135" t="str">
            <v>Residential_HVAC_Furnace_EFLH</v>
          </cell>
          <cell r="F135" t="e">
            <v>#N/A</v>
          </cell>
        </row>
        <row r="136">
          <cell r="A136" t="str">
            <v>Residential_HVAC_Ground Source Heat Pump_Capacity_ASHPheat</v>
          </cell>
          <cell r="F136" t="e">
            <v>#REF!</v>
          </cell>
        </row>
        <row r="137">
          <cell r="A137" t="str">
            <v>Residential_HVAC_Ground Source Heat Pump_HeatLoad</v>
          </cell>
          <cell r="F137" t="e">
            <v>#N/A</v>
          </cell>
        </row>
        <row r="138">
          <cell r="A138" t="str">
            <v>Residential_HVAC_Ground Source Heat Pump_AFUEbase</v>
          </cell>
          <cell r="F138" t="e">
            <v>#REF!</v>
          </cell>
        </row>
        <row r="139">
          <cell r="A139" t="str">
            <v>Residential_HVAC_Ground Source Heat Pump_Fe</v>
          </cell>
          <cell r="F139">
            <v>1.8799999999999997E-2</v>
          </cell>
        </row>
        <row r="140">
          <cell r="A140" t="str">
            <v>Residential_HVAC_Ground Source Heat Pump_1000000</v>
          </cell>
          <cell r="F140">
            <v>1000000</v>
          </cell>
        </row>
        <row r="141">
          <cell r="A141" t="str">
            <v>Residential_HVAC_Ground Source Heat Pump_FurnaceFanSavings</v>
          </cell>
          <cell r="F141" t="e">
            <v>#N/A</v>
          </cell>
        </row>
        <row r="142">
          <cell r="A142" t="str">
            <v>Residential_HVAC_Ground Source Heat Pump_FLH_GSHPheat</v>
          </cell>
          <cell r="F142" t="e">
            <v>#N/A</v>
          </cell>
        </row>
        <row r="143">
          <cell r="A143" t="str">
            <v>Residential_HVAC_Ground Source Heat Pump_Capacity_GSHPheat</v>
          </cell>
          <cell r="F143" t="e">
            <v>#REF!</v>
          </cell>
        </row>
        <row r="144">
          <cell r="A144" t="str">
            <v>Residential_HVAC_Ground Source Heat Pump_HeatLoad</v>
          </cell>
          <cell r="F144" t="e">
            <v>#N/A</v>
          </cell>
        </row>
        <row r="145">
          <cell r="A145" t="str">
            <v>Residential_HVAC_Ground Source Heat Pump_COP_pl</v>
          </cell>
          <cell r="F145" t="e">
            <v>#REF!</v>
          </cell>
        </row>
        <row r="146">
          <cell r="A146" t="str">
            <v>Residential_HVAC_Ground Source Heat Pump_3.412</v>
          </cell>
          <cell r="F146">
            <v>3.4119999999999999</v>
          </cell>
        </row>
        <row r="147">
          <cell r="A147" t="str">
            <v>Residential_HVAC_Ground Source Heat Pump_1000</v>
          </cell>
          <cell r="F147">
            <v>1000</v>
          </cell>
        </row>
        <row r="148">
          <cell r="A148" t="str">
            <v>Residential_HVAC_Ground Source Heat Pump_3412</v>
          </cell>
          <cell r="F148">
            <v>3412</v>
          </cell>
        </row>
        <row r="149">
          <cell r="A149" t="str">
            <v>Residential_HVAC_Ground Source Heat Pump_1000000</v>
          </cell>
          <cell r="F149">
            <v>1000000</v>
          </cell>
        </row>
        <row r="150">
          <cell r="A150" t="str">
            <v>Residential_HVAC_Ground Source Heat Pump_GSHPSiteHeatConsumed</v>
          </cell>
          <cell r="F150" t="e">
            <v>#N/A</v>
          </cell>
        </row>
        <row r="151">
          <cell r="A151" t="str">
            <v>Residential_HVAC_Ground Source Heat Pump_FLHcool</v>
          </cell>
          <cell r="F151" t="e">
            <v>#N/A</v>
          </cell>
        </row>
        <row r="152">
          <cell r="A152" t="str">
            <v>Residential_HVAC_Ground Source Heat Pump_Capacity_GSHPcool</v>
          </cell>
          <cell r="F152" t="e">
            <v>#REF!</v>
          </cell>
        </row>
        <row r="153">
          <cell r="A153" t="str">
            <v>Residential_HVAC_Ground Source Heat Pump_CoolingLoad</v>
          </cell>
          <cell r="F153" t="e">
            <v>#N/A</v>
          </cell>
        </row>
        <row r="154">
          <cell r="A154" t="str">
            <v>Residential_HVAC_Ground Source Heat Pump_SEER2_base</v>
          </cell>
          <cell r="F154" t="e">
            <v>#REF!</v>
          </cell>
        </row>
        <row r="155">
          <cell r="A155" t="str">
            <v>Residential_HVAC_Ground Source Heat Pump_EER2_pl</v>
          </cell>
          <cell r="F155" t="e">
            <v>#REF!</v>
          </cell>
        </row>
        <row r="156">
          <cell r="A156" t="str">
            <v>Residential_HVAC_Ground Source Heat Pump_1000</v>
          </cell>
          <cell r="F156">
            <v>1000</v>
          </cell>
        </row>
        <row r="157">
          <cell r="A157" t="str">
            <v>Residential_HVAC_Ground Source Heat Pump_3412</v>
          </cell>
          <cell r="F157">
            <v>3412</v>
          </cell>
        </row>
        <row r="158">
          <cell r="A158" t="str">
            <v>Residential_HVAC_Ground Source Heat Pump_1000000</v>
          </cell>
          <cell r="F158">
            <v>1000000</v>
          </cell>
        </row>
        <row r="159">
          <cell r="A159" t="str">
            <v>Residential_HVAC_Ground Source Heat Pump_GSHPSiteCoolingImpact</v>
          </cell>
          <cell r="F159" t="e">
            <v>#N/A</v>
          </cell>
        </row>
        <row r="160">
          <cell r="A160" t="str">
            <v>Residential_HVAC_Ground Source Heat Pump_BTU_NewSiteCoolingImpact</v>
          </cell>
          <cell r="F160" t="e">
            <v>#N/A</v>
          </cell>
        </row>
        <row r="161">
          <cell r="A161" t="str">
            <v>Residential_HVAC_Ground Source Heat Pump_SiteEnergySavings (MMBTUs)</v>
          </cell>
          <cell r="F161" t="e">
            <v>#N/A</v>
          </cell>
        </row>
        <row r="162">
          <cell r="A162" t="str">
            <v>Residential_HVAC_Ground Source Heat Pump_Capacity_GSHPcool</v>
          </cell>
          <cell r="F162" t="e">
            <v>#REF!</v>
          </cell>
        </row>
        <row r="163">
          <cell r="A163" t="str">
            <v>Residential_HVAC_Ground Source Heat Pump_EER2_base</v>
          </cell>
          <cell r="F163">
            <v>10.6</v>
          </cell>
        </row>
        <row r="164">
          <cell r="A164" t="str">
            <v>Residential_HVAC_Ground Source Heat Pump_EER2_pl</v>
          </cell>
          <cell r="F164" t="e">
            <v>#REF!</v>
          </cell>
        </row>
        <row r="165">
          <cell r="A165" t="str">
            <v>Residential_HVAC_Ground Source Heat Pump_1000</v>
          </cell>
          <cell r="F165">
            <v>1000</v>
          </cell>
        </row>
        <row r="166">
          <cell r="A166" t="str">
            <v>Residential_HVAC_Ground Source Heat Pump_CF</v>
          </cell>
          <cell r="F166">
            <v>0.72</v>
          </cell>
        </row>
        <row r="167">
          <cell r="A167" t="str">
            <v>Residential_HVAC_Ground Source Heat Pump_Delta_kW</v>
          </cell>
          <cell r="F167" t="e">
            <v>#REF!</v>
          </cell>
        </row>
        <row r="168">
          <cell r="A168" t="str">
            <v>Residential_HVAC_Ground Source Heat Pump_%DHW Displaced</v>
          </cell>
          <cell r="F168">
            <v>0</v>
          </cell>
        </row>
        <row r="169">
          <cell r="A169" t="str">
            <v>Residential_HVAC_Ground Source Heat Pump_EF_gas</v>
          </cell>
          <cell r="F169">
            <v>0.58030000000000004</v>
          </cell>
        </row>
        <row r="170">
          <cell r="A170" t="str">
            <v>Residential_HVAC_Ground Source Heat Pump_EF_elec</v>
          </cell>
          <cell r="F170">
            <v>0.94799999999999995</v>
          </cell>
        </row>
        <row r="171">
          <cell r="A171" t="str">
            <v>Residential_HVAC_Ground Source Heat Pump_GPD</v>
          </cell>
          <cell r="F171">
            <v>17.600000000000001</v>
          </cell>
        </row>
        <row r="172">
          <cell r="A172" t="str">
            <v>Residential_HVAC_Ground Source Heat Pump_Household</v>
          </cell>
          <cell r="F172">
            <v>2.56</v>
          </cell>
        </row>
        <row r="173">
          <cell r="A173" t="str">
            <v>Residential_HVAC_Ground Source Heat Pump_365.25</v>
          </cell>
          <cell r="F173">
            <v>365.25</v>
          </cell>
        </row>
        <row r="174">
          <cell r="A174" t="str">
            <v>Residential_HVAC_Ground Source Heat Pump_yWater</v>
          </cell>
          <cell r="F174">
            <v>8.33</v>
          </cell>
        </row>
        <row r="175">
          <cell r="A175" t="str">
            <v>Residential_HVAC_Ground Source Heat Pump_T_out</v>
          </cell>
          <cell r="F175">
            <v>125</v>
          </cell>
        </row>
        <row r="176">
          <cell r="A176" t="str">
            <v>Residential_HVAC_Ground Source Heat Pump_T_in</v>
          </cell>
          <cell r="F176">
            <v>50.7</v>
          </cell>
        </row>
        <row r="177">
          <cell r="A177" t="str">
            <v>Residential_HVAC_Ground Source Heat Pump_1</v>
          </cell>
          <cell r="F177">
            <v>1</v>
          </cell>
        </row>
        <row r="178">
          <cell r="A178" t="str">
            <v>Residential_HVAC_Ground Source Heat Pump_1000000</v>
          </cell>
          <cell r="F178">
            <v>1000000</v>
          </cell>
        </row>
        <row r="179">
          <cell r="A179" t="str">
            <v>Residential_HVAC_Ground Source Heat Pump_GSHPSiteWaterImpact_gas</v>
          </cell>
          <cell r="F179">
            <v>0</v>
          </cell>
        </row>
        <row r="180">
          <cell r="A180" t="str">
            <v>Residential_HVAC_Ground Source Heat Pump_GSHPSiteWaterImpact_elec</v>
          </cell>
          <cell r="F180">
            <v>0</v>
          </cell>
        </row>
        <row r="181">
          <cell r="A181" t="str">
            <v>Residential_HVAC_Ground Source Heat Pump_kWh Saved per Unit</v>
          </cell>
          <cell r="F181" t="e">
            <v>#N/A</v>
          </cell>
        </row>
        <row r="182">
          <cell r="A182" t="str">
            <v>Residential_HVAC_Ground Source Heat Pump_Coincident Peak kW Saved per Unit</v>
          </cell>
          <cell r="F182" t="e">
            <v>#REF!</v>
          </cell>
        </row>
        <row r="183">
          <cell r="A183" t="str">
            <v>Residential_HVAC_Ground Source Heat Pump_Propane Gal Saved per Unit</v>
          </cell>
          <cell r="F183" t="e">
            <v>#N/A</v>
          </cell>
        </row>
        <row r="184">
          <cell r="A184" t="str">
            <v>Residential_HVAC_Ground Source Heat Pump_Lifetime (years)</v>
          </cell>
          <cell r="F184">
            <v>16</v>
          </cell>
        </row>
        <row r="185">
          <cell r="A185" t="str">
            <v>Residential_HVAC_Ground Source Heat Pump_Incremental Cost</v>
          </cell>
          <cell r="F185" t="e">
            <v>#REF!</v>
          </cell>
        </row>
        <row r="186">
          <cell r="A186" t="str">
            <v>Residential_HVAC_Ground Source Heat Pump_BTU Impact_Existing_Fossil Fuel</v>
          </cell>
          <cell r="F186" t="e">
            <v>#N/A</v>
          </cell>
        </row>
        <row r="187">
          <cell r="A187" t="str">
            <v>Residential_HVAC_Ground Source Heat Pump_BTU Impact_Existing_Winter Electricity</v>
          </cell>
          <cell r="F187" t="e">
            <v>#N/A</v>
          </cell>
        </row>
        <row r="188">
          <cell r="A188" t="str">
            <v>Residential_HVAC_Ground Source Heat Pump_BTU Impact_Existing_Summer Electricity</v>
          </cell>
          <cell r="F188" t="e">
            <v>#N/A</v>
          </cell>
        </row>
        <row r="189">
          <cell r="A189" t="str">
            <v>Residential_HVAC_Ground Source Heat Pump_BTU Impact_New_Fossil Fuel</v>
          </cell>
          <cell r="F189">
            <v>0</v>
          </cell>
        </row>
        <row r="190">
          <cell r="A190" t="str">
            <v>Residential_HVAC_Ground Source Heat Pump_BTU Impact_New_Winter Electricity</v>
          </cell>
          <cell r="F190" t="e">
            <v>#N/A</v>
          </cell>
        </row>
        <row r="191">
          <cell r="A191" t="str">
            <v>Residential_HVAC_Ground Source Heat Pump_BTU Impact_New_Summer Electricity</v>
          </cell>
          <cell r="F191" t="e">
            <v>#N/A</v>
          </cell>
        </row>
        <row r="192">
          <cell r="A192" t="str">
            <v>Residential_HVAC_Ground Source Heat Pump_</v>
          </cell>
        </row>
        <row r="193">
          <cell r="A193" t="str">
            <v>Residential_Hot Water_Heat Pump Water Heater_UEFBASE</v>
          </cell>
          <cell r="F193">
            <v>0.92069999999999996</v>
          </cell>
        </row>
        <row r="194">
          <cell r="A194" t="str">
            <v>Residential_Hot Water_Heat Pump Water Heater_UEFEFFICIENT</v>
          </cell>
          <cell r="F194">
            <v>3.88</v>
          </cell>
        </row>
        <row r="195">
          <cell r="A195" t="str">
            <v>Residential_Hot Water_Heat Pump Water Heater_GPD</v>
          </cell>
          <cell r="F195">
            <v>17.600000000000001</v>
          </cell>
        </row>
        <row r="196">
          <cell r="A196" t="str">
            <v>Residential_Hot Water_Heat Pump Water Heater_Household</v>
          </cell>
          <cell r="F196">
            <v>2.56</v>
          </cell>
        </row>
        <row r="197">
          <cell r="A197" t="str">
            <v>Residential_Hot Water_Heat Pump Water Heater_365.25</v>
          </cell>
          <cell r="F197">
            <v>365.25</v>
          </cell>
        </row>
        <row r="198">
          <cell r="A198" t="str">
            <v>Residential_Hot Water_Heat Pump Water Heater_γWater</v>
          </cell>
          <cell r="F198">
            <v>8.33</v>
          </cell>
        </row>
        <row r="199">
          <cell r="A199" t="str">
            <v>Residential_Hot Water_Heat Pump Water Heater_TOUT</v>
          </cell>
          <cell r="F199">
            <v>125</v>
          </cell>
        </row>
        <row r="200">
          <cell r="A200" t="str">
            <v>Residential_Hot Water_Heat Pump Water Heater_TIN</v>
          </cell>
          <cell r="F200">
            <v>50.7</v>
          </cell>
        </row>
        <row r="201">
          <cell r="A201" t="str">
            <v>Residential_Hot Water_Heat Pump Water Heater_3412</v>
          </cell>
          <cell r="F201">
            <v>3412</v>
          </cell>
        </row>
        <row r="202">
          <cell r="A202" t="str">
            <v>Residential_Hot Water_Heat Pump Water Heater_LF</v>
          </cell>
          <cell r="F202">
            <v>0.22</v>
          </cell>
        </row>
        <row r="203">
          <cell r="A203" t="str">
            <v>Residential_Hot Water_Heat Pump Water Heater_0.27</v>
          </cell>
          <cell r="F203">
            <v>0.27</v>
          </cell>
        </row>
        <row r="204">
          <cell r="A204" t="str">
            <v>Residential_Hot Water_Heat Pump Water Heater_COPCOOL</v>
          </cell>
          <cell r="F204">
            <v>3.3</v>
          </cell>
        </row>
        <row r="205">
          <cell r="A205" t="str">
            <v>Residential_Hot Water_Heat Pump Water Heater_LM</v>
          </cell>
          <cell r="F205">
            <v>1.33</v>
          </cell>
        </row>
        <row r="206">
          <cell r="A206" t="str">
            <v>Residential_Hot Water_Heat Pump Water Heater_kWh_cooling</v>
          </cell>
          <cell r="F206">
            <v>53.045989945976224</v>
          </cell>
        </row>
        <row r="207">
          <cell r="A207" t="str">
            <v>Residential_Hot Water_Heat Pump Water Heater_0.05</v>
          </cell>
          <cell r="F207">
            <v>0.05</v>
          </cell>
        </row>
        <row r="208">
          <cell r="A208" t="str">
            <v>Residential_Hot Water_Heat Pump Water Heater_COPHEAT</v>
          </cell>
          <cell r="F208">
            <v>1.7438452520515826</v>
          </cell>
        </row>
        <row r="209">
          <cell r="A209" t="str">
            <v>Residential_Hot Water_Heat Pump Water Heater_%NaturalGas</v>
          </cell>
          <cell r="F209">
            <v>0</v>
          </cell>
        </row>
        <row r="210">
          <cell r="A210" t="str">
            <v>Residential_Hot Water_Heat Pump Water Heater_kWh_heating</v>
          </cell>
          <cell r="F210">
            <v>13.976973909931546</v>
          </cell>
        </row>
        <row r="211">
          <cell r="A211" t="str">
            <v>Residential_Hot Water_Heat Pump Water Heater_Deh_Reduction</v>
          </cell>
          <cell r="F211">
            <v>72</v>
          </cell>
        </row>
        <row r="212">
          <cell r="A212" t="str">
            <v>Residential_Hot Water_Heat Pump Water Heater_Delta_kWh</v>
          </cell>
          <cell r="F212">
            <v>-658.30218317112008</v>
          </cell>
        </row>
        <row r="213">
          <cell r="A213" t="str">
            <v>Residential_Hot Water_Heat Pump Water Heater_Hours</v>
          </cell>
          <cell r="F213">
            <v>2533</v>
          </cell>
        </row>
        <row r="214">
          <cell r="A214" t="str">
            <v>Residential_Hot Water_Heat Pump Water Heater_CF</v>
          </cell>
          <cell r="F214">
            <v>0.12</v>
          </cell>
        </row>
        <row r="215">
          <cell r="A215" t="str">
            <v>Residential_Hot Water_Heat Pump Water Heater_Delta_kW</v>
          </cell>
          <cell r="F215">
            <v>-3.118683852370091E-2</v>
          </cell>
        </row>
        <row r="216">
          <cell r="A216" t="str">
            <v>Residential_Hot Water_Heat Pump Water Heater_UEFBASE</v>
          </cell>
          <cell r="F216">
            <v>0.56299999999999994</v>
          </cell>
        </row>
        <row r="217">
          <cell r="A217" t="str">
            <v>Residential_Hot Water_Heat Pump Water Heater_UEFEFFICIENT</v>
          </cell>
          <cell r="F217">
            <v>0.64</v>
          </cell>
        </row>
        <row r="218">
          <cell r="A218" t="str">
            <v>Residential_Hot Water_Heat Pump Water Heater_GPD</v>
          </cell>
          <cell r="F218">
            <v>17.600000000000001</v>
          </cell>
        </row>
        <row r="219">
          <cell r="A219" t="str">
            <v>Residential_Hot Water_Heat Pump Water Heater_Household</v>
          </cell>
          <cell r="F219">
            <v>2.56</v>
          </cell>
        </row>
        <row r="220">
          <cell r="A220" t="str">
            <v>Residential_Hot Water_Heat Pump Water Heater_365.25</v>
          </cell>
          <cell r="F220">
            <v>365.25</v>
          </cell>
        </row>
        <row r="221">
          <cell r="A221" t="str">
            <v>Residential_Hot Water_Heat Pump Water Heater_γWater</v>
          </cell>
          <cell r="F221">
            <v>8.33</v>
          </cell>
        </row>
        <row r="222">
          <cell r="A222" t="str">
            <v>Residential_Hot Water_Heat Pump Water Heater_TOUT</v>
          </cell>
          <cell r="F222">
            <v>125</v>
          </cell>
        </row>
        <row r="223">
          <cell r="A223" t="str">
            <v>Residential_Hot Water_Heat Pump Water Heater_TIN</v>
          </cell>
          <cell r="F223">
            <v>50.7</v>
          </cell>
        </row>
        <row r="224">
          <cell r="A224" t="str">
            <v>Residential_Hot Water_Heat Pump Water Heater_100000</v>
          </cell>
          <cell r="F224">
            <v>100000</v>
          </cell>
        </row>
        <row r="225">
          <cell r="A225" t="str">
            <v>Residential_Hot Water_Heat Pump Water Heater_Delta_Therms</v>
          </cell>
          <cell r="F225">
            <v>180.912376251794</v>
          </cell>
        </row>
        <row r="226">
          <cell r="A226" t="str">
            <v>Residential_Hot Water_Heat Pump Water Heater_Delta_Btu</v>
          </cell>
          <cell r="F226">
            <v>18091237.625179399</v>
          </cell>
        </row>
        <row r="227">
          <cell r="A227" t="str">
            <v>Residential_Hot Water_Heat Pump Water Heater_kWh Saved per Unit</v>
          </cell>
          <cell r="F227">
            <v>-658.30218317112008</v>
          </cell>
        </row>
        <row r="228">
          <cell r="A228" t="str">
            <v>Residential_Hot Water_Heat Pump Water Heater_Coincident Peak kW Saved per Unit</v>
          </cell>
          <cell r="F228">
            <v>-3.118683852370091E-2</v>
          </cell>
        </row>
        <row r="229">
          <cell r="A229" t="str">
            <v>Residential_Hot Water_Heat Pump Water Heater_Propane Gal Saved per Unit</v>
          </cell>
          <cell r="F229">
            <v>198.07996699089483</v>
          </cell>
        </row>
        <row r="230">
          <cell r="A230" t="str">
            <v>Residential_Hot Water_Heat Pump Water Heater_Lifetime (years)</v>
          </cell>
          <cell r="F230">
            <v>15</v>
          </cell>
        </row>
        <row r="231">
          <cell r="A231" t="str">
            <v>Residential_Hot Water_Heat Pump Water Heater_Incremental Cost</v>
          </cell>
          <cell r="F231">
            <v>2231</v>
          </cell>
        </row>
        <row r="232">
          <cell r="A232" t="str">
            <v>Residential_Hot Water_Heat Pump Water Heater_BTU Impact_Existing_Fossil Fuel</v>
          </cell>
          <cell r="F232">
            <v>-18091237.625179399</v>
          </cell>
        </row>
        <row r="233">
          <cell r="A233" t="str">
            <v>Residential_Hot Water_Heat Pump Water Heater_BTU Impact_Existing_Winter Electricity</v>
          </cell>
          <cell r="F233">
            <v>0</v>
          </cell>
        </row>
        <row r="234">
          <cell r="A234" t="str">
            <v>Residential_Hot Water_Heat Pump Water Heater_BTU Impact_Existing_Summer Electricity</v>
          </cell>
          <cell r="F234">
            <v>0</v>
          </cell>
        </row>
        <row r="235">
          <cell r="A235" t="str">
            <v>Residential_Hot Water_Heat Pump Water Heater_BTU Impact_New_Fossil Fuel</v>
          </cell>
          <cell r="F235">
            <v>0</v>
          </cell>
        </row>
        <row r="236">
          <cell r="A236" t="str">
            <v>Residential_Hot Water_Heat Pump Water Heater_BTU Impact_New_Winter Electricity</v>
          </cell>
          <cell r="F236">
            <v>1725124.840733693</v>
          </cell>
        </row>
        <row r="237">
          <cell r="A237" t="str">
            <v>Residential_Hot Water_Heat Pump Water Heater_BTU Impact_New_Summer Electricity</v>
          </cell>
          <cell r="F237">
            <v>521002.20824616856</v>
          </cell>
        </row>
        <row r="238">
          <cell r="A238" t="str">
            <v>Residential_Hot Water_Heat Pump Water Heater_</v>
          </cell>
        </row>
        <row r="239">
          <cell r="A239" t="str">
            <v>Residential_Appliances_Heat Pump Clothes Dryer_Load</v>
          </cell>
          <cell r="F239">
            <v>8.4499999999999993</v>
          </cell>
        </row>
        <row r="240">
          <cell r="A240" t="str">
            <v>Residential_Appliances_Heat Pump Clothes Dryer_CEFbase</v>
          </cell>
          <cell r="F240">
            <v>3.11</v>
          </cell>
        </row>
        <row r="241">
          <cell r="A241" t="str">
            <v>Residential_Appliances_Heat Pump Clothes Dryer_Load</v>
          </cell>
          <cell r="F241">
            <v>8.4499999999999993</v>
          </cell>
        </row>
        <row r="242">
          <cell r="A242" t="str">
            <v>Residential_Appliances_Heat Pump Clothes Dryer_CEFeff</v>
          </cell>
          <cell r="F242">
            <v>3.93</v>
          </cell>
        </row>
        <row r="243">
          <cell r="A243" t="str">
            <v>Residential_Appliances_Heat Pump Clothes Dryer_Ncycles</v>
          </cell>
          <cell r="F243">
            <v>283</v>
          </cell>
        </row>
        <row r="244">
          <cell r="A244" t="str">
            <v>Residential_Appliances_Heat Pump Clothes Dryer_%Electric</v>
          </cell>
          <cell r="F244">
            <v>1</v>
          </cell>
        </row>
        <row r="245">
          <cell r="A245" t="str">
            <v>Residential_Appliances_Heat Pump Clothes Dryer_ΔkWh</v>
          </cell>
          <cell r="F245">
            <v>-608.48600508905849</v>
          </cell>
        </row>
        <row r="246">
          <cell r="A246" t="str">
            <v>Residential_Appliances_Heat Pump Clothes Dryer_Hours</v>
          </cell>
          <cell r="F246">
            <v>283</v>
          </cell>
        </row>
        <row r="247">
          <cell r="A247" t="str">
            <v>Residential_Appliances_Heat Pump Clothes Dryer_CF</v>
          </cell>
          <cell r="F247">
            <v>3.7999999999999999E-2</v>
          </cell>
        </row>
        <row r="248">
          <cell r="A248" t="str">
            <v>Residential_Appliances_Heat Pump Clothes Dryer_ΔkW</v>
          </cell>
          <cell r="F248">
            <v>-8.1704834605597951E-2</v>
          </cell>
        </row>
        <row r="249">
          <cell r="A249" t="str">
            <v>Residential_Appliances_Heat Pump Clothes Dryer_Load</v>
          </cell>
          <cell r="F249">
            <v>8.4499999999999993</v>
          </cell>
        </row>
        <row r="250">
          <cell r="A250" t="str">
            <v>Residential_Appliances_Heat Pump Clothes Dryer_EFbase</v>
          </cell>
          <cell r="F250">
            <v>2.84</v>
          </cell>
        </row>
        <row r="251">
          <cell r="A251" t="str">
            <v>Residential_Appliances_Heat Pump Clothes Dryer_IQAdj</v>
          </cell>
          <cell r="F251">
            <v>1.0329999999999999</v>
          </cell>
        </row>
        <row r="252">
          <cell r="A252" t="str">
            <v>Residential_Appliances_Heat Pump Clothes Dryer_Load</v>
          </cell>
          <cell r="F252">
            <v>8.4499999999999993</v>
          </cell>
        </row>
        <row r="253">
          <cell r="A253" t="str">
            <v>Residential_Appliances_Heat Pump Clothes Dryer_CEFeff</v>
          </cell>
          <cell r="F253">
            <v>3.48</v>
          </cell>
        </row>
        <row r="254">
          <cell r="A254" t="str">
            <v>Residential_Appliances_Heat Pump Clothes Dryer_Ncycles</v>
          </cell>
          <cell r="F254">
            <v>283</v>
          </cell>
        </row>
        <row r="255">
          <cell r="A255" t="str">
            <v>Residential_Appliances_Heat Pump Clothes Dryer_Therm_convert</v>
          </cell>
          <cell r="F255">
            <v>3.4119999999999998E-2</v>
          </cell>
        </row>
        <row r="256">
          <cell r="A256" t="str">
            <v>Residential_Appliances_Heat Pump Clothes Dryer_%Gas</v>
          </cell>
          <cell r="F256">
            <v>1</v>
          </cell>
        </row>
        <row r="257">
          <cell r="A257" t="str">
            <v>Residential_Appliances_Heat Pump Clothes Dryer_Δtherm</v>
          </cell>
          <cell r="F257">
            <v>29.677967058450697</v>
          </cell>
        </row>
        <row r="258">
          <cell r="A258" t="str">
            <v>Residential_Appliances_Heat Pump Clothes Dryer_kWh Saved per Unit</v>
          </cell>
          <cell r="F258">
            <v>-608.48600508905849</v>
          </cell>
        </row>
        <row r="259">
          <cell r="A259" t="str">
            <v>Residential_Appliances_Heat Pump Clothes Dryer_Coincident Peak kW Saved per Unit</v>
          </cell>
          <cell r="F259">
            <v>-8.1704834605597951E-2</v>
          </cell>
        </row>
        <row r="260">
          <cell r="A260" t="str">
            <v>Residential_Appliances_Heat Pump Clothes Dryer_Therms Saved per Unit</v>
          </cell>
          <cell r="F260">
            <v>29.677967058450697</v>
          </cell>
        </row>
        <row r="261">
          <cell r="A261" t="str">
            <v>Residential_Appliances_Heat Pump Clothes Dryer_Lifetime (years)</v>
          </cell>
          <cell r="F261">
            <v>16</v>
          </cell>
        </row>
        <row r="262">
          <cell r="A262" t="str">
            <v>Residential_Appliances_Heat Pump Clothes Dryer_Incremental Cost</v>
          </cell>
          <cell r="F262">
            <v>246</v>
          </cell>
        </row>
        <row r="263">
          <cell r="A263" t="str">
            <v>Residential_Appliances_Heat Pump Clothes Dryer_BTU Impact_Existing_Fossil Fuel</v>
          </cell>
          <cell r="F263">
            <v>-2967796.7058450696</v>
          </cell>
        </row>
        <row r="264">
          <cell r="A264" t="str">
            <v>Residential_Appliances_Heat Pump Clothes Dryer_BTU Impact_Existing_Winter Electricity</v>
          </cell>
          <cell r="F264">
            <v>-1978531.1372300466</v>
          </cell>
        </row>
        <row r="265">
          <cell r="A265" t="str">
            <v>Residential_Appliances_Heat Pump Clothes Dryer_BTU Impact_Existing_Summer Electricity</v>
          </cell>
          <cell r="F265">
            <v>-989265.56861502328</v>
          </cell>
        </row>
        <row r="266">
          <cell r="A266" t="str">
            <v>Residential_Appliances_Heat Pump Clothes Dryer_BTU Impact_New_Fossil Fuel</v>
          </cell>
          <cell r="F266">
            <v>0</v>
          </cell>
        </row>
        <row r="267">
          <cell r="A267" t="str">
            <v>Residential_Appliances_Heat Pump Clothes Dryer_BTU Impact_New_Winter Electricity</v>
          </cell>
          <cell r="F267">
            <v>1384102.832909245</v>
          </cell>
        </row>
        <row r="268">
          <cell r="A268" t="str">
            <v>Residential_Appliances_Heat Pump Clothes Dryer_BTU Impact_New_Summer Electricity</v>
          </cell>
          <cell r="F268">
            <v>692051.41645462252</v>
          </cell>
        </row>
        <row r="269">
          <cell r="A269" t="str">
            <v>Residential_Appliances_Heat Pump Clothes Dryer_</v>
          </cell>
        </row>
        <row r="270">
          <cell r="A270" t="str">
            <v>Residential_Appliances_Electric Range_Cooktop AEC_basegas</v>
          </cell>
          <cell r="F270">
            <v>12.7</v>
          </cell>
        </row>
        <row r="271">
          <cell r="A271" t="str">
            <v>Residential_Appliances_Electric Range_Oven AEC_basegas</v>
          </cell>
          <cell r="F271">
            <v>8.6</v>
          </cell>
        </row>
        <row r="272">
          <cell r="A272" t="str">
            <v>Residential_Appliances_Electric Range_AEC_basegas</v>
          </cell>
          <cell r="F272">
            <v>21.299999999999997</v>
          </cell>
        </row>
        <row r="273">
          <cell r="A273" t="str">
            <v>Residential_Appliances_Electric Range_10</v>
          </cell>
          <cell r="F273">
            <v>10</v>
          </cell>
        </row>
        <row r="274">
          <cell r="A274" t="str">
            <v>Residential_Appliances_Electric Range_Gas Consumption Replaced</v>
          </cell>
          <cell r="F274">
            <v>2.13</v>
          </cell>
        </row>
        <row r="275">
          <cell r="A275" t="str">
            <v>Residential_Appliances_Electric Range_Cooktop IAEC_ee</v>
          </cell>
          <cell r="F275">
            <v>111</v>
          </cell>
        </row>
        <row r="276">
          <cell r="A276" t="str">
            <v>Residential_Appliances_Electric Range_Oven IAEC_ee</v>
          </cell>
          <cell r="F276">
            <v>171.6</v>
          </cell>
        </row>
        <row r="277">
          <cell r="A277" t="str">
            <v>Residential_Appliances_Electric Range_IAEC_ee</v>
          </cell>
          <cell r="F277">
            <v>282.60000000000002</v>
          </cell>
        </row>
        <row r="278">
          <cell r="A278" t="str">
            <v>Residential_Appliances_Electric Range_3412</v>
          </cell>
          <cell r="F278">
            <v>3412</v>
          </cell>
        </row>
        <row r="279">
          <cell r="A279" t="str">
            <v>Residential_Appliances_Electric Range_1000000</v>
          </cell>
          <cell r="F279">
            <v>1000000</v>
          </cell>
        </row>
        <row r="280">
          <cell r="A280" t="str">
            <v>Residential_Appliances_Electric Range_Electric Consumption Added</v>
          </cell>
          <cell r="F280">
            <v>0.96423120000000007</v>
          </cell>
        </row>
        <row r="281">
          <cell r="A281" t="str">
            <v>Residential_Appliances_Electric Range_Eff_ee</v>
          </cell>
          <cell r="F281">
            <v>0.85</v>
          </cell>
        </row>
        <row r="282">
          <cell r="A282" t="str">
            <v>Residential_Appliances_Electric Range_Eff_base</v>
          </cell>
          <cell r="F282">
            <v>0.77</v>
          </cell>
        </row>
        <row r="283">
          <cell r="A283" t="str">
            <v>Residential_Appliances_Electric Range_Cooktop AEC_base</v>
          </cell>
          <cell r="F283">
            <v>122.53246753246754</v>
          </cell>
        </row>
        <row r="284">
          <cell r="A284" t="str">
            <v>Residential_Appliances_Electric Range_AEC_baseelectric</v>
          </cell>
          <cell r="F284">
            <v>54.3</v>
          </cell>
        </row>
        <row r="285">
          <cell r="A285" t="str">
            <v>Residential_Appliances_Electric Range_3412</v>
          </cell>
          <cell r="F285">
            <v>3412</v>
          </cell>
        </row>
        <row r="286">
          <cell r="A286" t="str">
            <v>Residential_Appliances_Electric Range_1000000</v>
          </cell>
          <cell r="F286">
            <v>1000000</v>
          </cell>
        </row>
        <row r="287">
          <cell r="A287" t="str">
            <v>Residential_Appliances_Electric Range_Electric Consumption Replaced</v>
          </cell>
          <cell r="F287">
            <v>0.18527159999999998</v>
          </cell>
        </row>
        <row r="288">
          <cell r="A288" t="str">
            <v>Residential_Appliances_Electric Range_Cooking Savings</v>
          </cell>
          <cell r="F288">
            <v>1.3510404</v>
          </cell>
        </row>
        <row r="289">
          <cell r="A289" t="str">
            <v>Residential_Appliances_Electric Range_%Cool</v>
          </cell>
          <cell r="F289" t="e">
            <v>#REF!</v>
          </cell>
        </row>
        <row r="290">
          <cell r="A290" t="str">
            <v>Residential_Appliances_Electric Range_HCF_cool</v>
          </cell>
          <cell r="F290">
            <v>0.21</v>
          </cell>
        </row>
        <row r="291">
          <cell r="A291" t="str">
            <v>Residential_Appliances_Electric Range_Vent Factor</v>
          </cell>
          <cell r="F291">
            <v>0.5</v>
          </cell>
        </row>
        <row r="292">
          <cell r="A292" t="str">
            <v>Residential_Appliances_Electric Range_COP_cool</v>
          </cell>
          <cell r="F292">
            <v>3.3</v>
          </cell>
        </row>
        <row r="293">
          <cell r="A293" t="str">
            <v>Residential_Appliances_Electric Range_Cooling Impact</v>
          </cell>
          <cell r="F293" t="e">
            <v>#REF!</v>
          </cell>
        </row>
        <row r="294">
          <cell r="A294" t="str">
            <v>Residential_Appliances_Electric Range_%ElectricHeat</v>
          </cell>
          <cell r="F294">
            <v>0.24</v>
          </cell>
        </row>
        <row r="295">
          <cell r="A295" t="str">
            <v>Residential_Appliances_Electric Range_HCF_heat</v>
          </cell>
          <cell r="F295">
            <v>0.34799999999999998</v>
          </cell>
        </row>
        <row r="296">
          <cell r="A296" t="str">
            <v>Residential_Appliances_Electric Range_Vent Factor</v>
          </cell>
          <cell r="F296">
            <v>0.5</v>
          </cell>
        </row>
        <row r="297">
          <cell r="A297" t="str">
            <v>Residential_Appliances_Electric Range_COP_heat</v>
          </cell>
          <cell r="F297">
            <v>1.3</v>
          </cell>
        </row>
        <row r="298">
          <cell r="A298" t="str">
            <v>Residential_Appliances_Electric Range_ElecHeat Impact</v>
          </cell>
          <cell r="F298">
            <v>4.3399574695384607E-2</v>
          </cell>
        </row>
        <row r="299">
          <cell r="A299" t="str">
            <v>Residential_Appliances_Electric Range_%FossilFuelHeat</v>
          </cell>
          <cell r="F299">
            <v>0.76</v>
          </cell>
        </row>
        <row r="300">
          <cell r="A300" t="str">
            <v>Residential_Appliances_Electric Range_HCF_heat</v>
          </cell>
          <cell r="F300">
            <v>0.21</v>
          </cell>
        </row>
        <row r="301">
          <cell r="A301" t="str">
            <v>Residential_Appliances_Electric Range_Vent Factor</v>
          </cell>
          <cell r="F301">
            <v>0.5</v>
          </cell>
        </row>
        <row r="302">
          <cell r="A302" t="str">
            <v>Residential_Appliances_Electric Range_nHeat</v>
          </cell>
          <cell r="F302">
            <v>0.7</v>
          </cell>
        </row>
        <row r="303">
          <cell r="A303" t="str">
            <v>Residential_Appliances_Electric Range_Fossil Fuel Heat Impact</v>
          </cell>
          <cell r="F303">
            <v>0.1540186056</v>
          </cell>
        </row>
        <row r="304">
          <cell r="A304" t="str">
            <v>Residential_Appliances_Electric Range_1000000</v>
          </cell>
          <cell r="F304">
            <v>1000000</v>
          </cell>
        </row>
        <row r="305">
          <cell r="A305" t="str">
            <v>Residential_Appliances_Electric Range_3412</v>
          </cell>
          <cell r="F305">
            <v>3412</v>
          </cell>
        </row>
        <row r="306">
          <cell r="A306" t="str">
            <v>Residential_Appliances_Electric Range_Hours</v>
          </cell>
          <cell r="F306">
            <v>239</v>
          </cell>
        </row>
        <row r="307">
          <cell r="A307" t="str">
            <v>Residential_Appliances_Electric Range_WHFd</v>
          </cell>
          <cell r="F307">
            <v>1.1100000000000001</v>
          </cell>
        </row>
        <row r="308">
          <cell r="A308" t="str">
            <v>Residential_Appliances_Electric Range_CF</v>
          </cell>
          <cell r="F308">
            <v>0.28999999999999998</v>
          </cell>
        </row>
        <row r="309">
          <cell r="A309" t="str">
            <v>Residential_Appliances_Electric Range_kW Saved per Unit</v>
          </cell>
          <cell r="F309" t="e">
            <v>#REF!</v>
          </cell>
        </row>
        <row r="310">
          <cell r="A310" t="str">
            <v>Residential_Appliances_Electric Range_kWh Saved per Unit</v>
          </cell>
          <cell r="F310">
            <v>11.532467532467535</v>
          </cell>
        </row>
        <row r="311">
          <cell r="A311" t="str">
            <v>Residential_Appliances_Electric Range_Incremental Cost</v>
          </cell>
          <cell r="F311">
            <v>1149</v>
          </cell>
        </row>
        <row r="312">
          <cell r="A312" t="str">
            <v>Residential_Appliances_Electric Range_BTU Impact_Existing_Fossil Fuel</v>
          </cell>
          <cell r="F312">
            <v>-2130000</v>
          </cell>
        </row>
        <row r="313">
          <cell r="A313" t="str">
            <v>Residential_Appliances_Electric Range_BTU Impact_Existing_Winter Electricity</v>
          </cell>
          <cell r="F313">
            <v>-123514.39999999998</v>
          </cell>
        </row>
        <row r="314">
          <cell r="A314" t="str">
            <v>Residential_Appliances_Electric Range_BTU Impact_Existing_Summer Electricity</v>
          </cell>
          <cell r="F314">
            <v>-61757.19999999999</v>
          </cell>
        </row>
        <row r="315">
          <cell r="A315" t="str">
            <v>Residential_Appliances_Electric Range_BTU Impact_New_Fossil Fuel</v>
          </cell>
          <cell r="F315">
            <v>154018.60560000001</v>
          </cell>
        </row>
        <row r="316">
          <cell r="A316" t="str">
            <v>Residential_Appliances_Electric Range_BTU Impact_New_Winter Electricity</v>
          </cell>
          <cell r="F316">
            <v>686220.37469538464</v>
          </cell>
        </row>
        <row r="317">
          <cell r="A317" t="str">
            <v>Residential_Appliances_Electric Range_BTU Impact_New_Summer Electricity</v>
          </cell>
          <cell r="F317" t="e">
            <v>#REF!</v>
          </cell>
        </row>
        <row r="318">
          <cell r="A318" t="str">
            <v>Residential_Appliances_Electric Range_</v>
          </cell>
        </row>
        <row r="319">
          <cell r="A319" t="str">
            <v>Residential_Building Shell_Air Sealing (Electric Heat)_CFM50_existing</v>
          </cell>
          <cell r="F319">
            <v>0</v>
          </cell>
        </row>
        <row r="320">
          <cell r="A320" t="str">
            <v>Residential_Building Shell_Air Sealing (Electric Heat)_CFM50_new</v>
          </cell>
          <cell r="F320">
            <v>0</v>
          </cell>
        </row>
        <row r="321">
          <cell r="A321" t="str">
            <v>Residential_Building Shell_Air Sealing (Electric Heat)_N_cool</v>
          </cell>
          <cell r="F321">
            <v>36.5</v>
          </cell>
        </row>
        <row r="322">
          <cell r="A322" t="str">
            <v>Residential_Building Shell_Air Sealing (Electric Heat)_60</v>
          </cell>
          <cell r="F322">
            <v>60</v>
          </cell>
        </row>
        <row r="323">
          <cell r="A323" t="str">
            <v>Residential_Building Shell_Air Sealing (Electric Heat)_24</v>
          </cell>
          <cell r="F323">
            <v>24</v>
          </cell>
        </row>
        <row r="324">
          <cell r="A324" t="str">
            <v>Residential_Building Shell_Air Sealing (Electric Heat)_CDD</v>
          </cell>
          <cell r="F324" t="e">
            <v>#N/A</v>
          </cell>
        </row>
        <row r="325">
          <cell r="A325" t="str">
            <v>Residential_Building Shell_Air Sealing (Electric Heat)_DUA</v>
          </cell>
          <cell r="F325">
            <v>0.75</v>
          </cell>
        </row>
        <row r="326">
          <cell r="A326" t="str">
            <v>Residential_Building Shell_Air Sealing (Electric Heat)_0.018</v>
          </cell>
          <cell r="F326">
            <v>1.7999999999999999E-2</v>
          </cell>
        </row>
        <row r="327">
          <cell r="A327" t="str">
            <v>Residential_Building Shell_Air Sealing (Electric Heat)_1000</v>
          </cell>
          <cell r="F327">
            <v>1000</v>
          </cell>
        </row>
        <row r="328">
          <cell r="A328" t="str">
            <v>Residential_Building Shell_Air Sealing (Electric Heat)_ηCool</v>
          </cell>
          <cell r="F328" t="e">
            <v>#REF!</v>
          </cell>
        </row>
        <row r="329">
          <cell r="A329" t="str">
            <v>Residential_Building Shell_Air Sealing (Electric Heat)_ηCool_Mid-Life_Adj</v>
          </cell>
          <cell r="F329" t="e">
            <v>#REF!</v>
          </cell>
        </row>
        <row r="330">
          <cell r="A330" t="str">
            <v>Residential_Building Shell_Air Sealing (Electric Heat)_LM</v>
          </cell>
          <cell r="F330">
            <v>3.7</v>
          </cell>
        </row>
        <row r="331">
          <cell r="A331" t="str">
            <v>Residential_Building Shell_Air Sealing (Electric Heat)_ADJAirSealingCool</v>
          </cell>
          <cell r="F331">
            <v>1.1399999999999999</v>
          </cell>
        </row>
        <row r="332">
          <cell r="A332" t="str">
            <v>Residential_Building Shell_Air Sealing (Electric Heat)_IENetCorrection</v>
          </cell>
          <cell r="F332">
            <v>1.1000000000000001</v>
          </cell>
        </row>
        <row r="333">
          <cell r="A333" t="str">
            <v>Residential_Building Shell_Air Sealing (Electric Heat)_%Cool</v>
          </cell>
          <cell r="F333">
            <v>1</v>
          </cell>
        </row>
        <row r="334">
          <cell r="A334" t="str">
            <v>Residential_Building Shell_Air Sealing (Electric Heat)_Delta_kWh_cooling</v>
          </cell>
          <cell r="F334" t="e">
            <v>#N/A</v>
          </cell>
        </row>
        <row r="335">
          <cell r="A335" t="str">
            <v>Residential_Building Shell_Air Sealing (Electric Heat)_Delta_kWh_cooling_Mid-Life_Adj</v>
          </cell>
          <cell r="F335" t="e">
            <v>#N/A</v>
          </cell>
        </row>
        <row r="336">
          <cell r="A336" t="str">
            <v>Residential_Building Shell_Air Sealing (Electric Heat)_CFM50_existing</v>
          </cell>
          <cell r="F336">
            <v>0</v>
          </cell>
        </row>
        <row r="337">
          <cell r="A337" t="str">
            <v>Residential_Building Shell_Air Sealing (Electric Heat)_CFM50_new</v>
          </cell>
          <cell r="F337">
            <v>0</v>
          </cell>
        </row>
        <row r="338">
          <cell r="A338" t="str">
            <v>Residential_Building Shell_Air Sealing (Electric Heat)_N_heat</v>
          </cell>
          <cell r="F338">
            <v>21.5</v>
          </cell>
        </row>
        <row r="339">
          <cell r="A339" t="str">
            <v>Residential_Building Shell_Air Sealing (Electric Heat)_60</v>
          </cell>
          <cell r="F339">
            <v>60</v>
          </cell>
        </row>
        <row r="340">
          <cell r="A340" t="str">
            <v>Residential_Building Shell_Air Sealing (Electric Heat)_24</v>
          </cell>
          <cell r="F340">
            <v>24</v>
          </cell>
        </row>
        <row r="341">
          <cell r="A341" t="str">
            <v>Residential_Building Shell_Air Sealing (Electric Heat)_HDD</v>
          </cell>
          <cell r="F341" t="e">
            <v>#N/A</v>
          </cell>
        </row>
        <row r="342">
          <cell r="A342" t="str">
            <v>Residential_Building Shell_Air Sealing (Electric Heat)_0.018</v>
          </cell>
          <cell r="F342">
            <v>1.7999999999999999E-2</v>
          </cell>
        </row>
        <row r="343">
          <cell r="A343" t="str">
            <v>Residential_Building Shell_Air Sealing (Electric Heat)_ηHeat</v>
          </cell>
          <cell r="F343" t="e">
            <v>#REF!</v>
          </cell>
        </row>
        <row r="344">
          <cell r="A344" t="str">
            <v>Residential_Building Shell_Air Sealing (Electric Heat)_ηHeat_Mid-Life_Adj</v>
          </cell>
          <cell r="F344" t="e">
            <v>#REF!</v>
          </cell>
        </row>
        <row r="345">
          <cell r="A345" t="str">
            <v>Residential_Building Shell_Air Sealing (Electric Heat)_3412</v>
          </cell>
          <cell r="F345">
            <v>3412</v>
          </cell>
        </row>
        <row r="346">
          <cell r="A346" t="str">
            <v>Residential_Building Shell_Air Sealing (Electric Heat)_%ElectricHeat</v>
          </cell>
          <cell r="F346">
            <v>1</v>
          </cell>
        </row>
        <row r="347">
          <cell r="A347" t="str">
            <v>Residential_Building Shell_Air Sealing (Electric Heat)_Delta_kWh_heatingElectric</v>
          </cell>
          <cell r="F347" t="e">
            <v>#N/A</v>
          </cell>
        </row>
        <row r="348">
          <cell r="A348" t="str">
            <v>Residential_Building Shell_Air Sealing (Electric Heat)_Delta_kWh_heatingElectric_Mid-Life_Adj</v>
          </cell>
          <cell r="F348" t="e">
            <v>#N/A</v>
          </cell>
        </row>
        <row r="349">
          <cell r="A349" t="str">
            <v>Residential_Building Shell_Air Sealing (Electric Heat)_Fe</v>
          </cell>
          <cell r="F349">
            <v>3.1399999999999997E-2</v>
          </cell>
        </row>
        <row r="350">
          <cell r="A350" t="str">
            <v>Residential_Building Shell_Air Sealing (Electric Heat)_29.3</v>
          </cell>
          <cell r="F350">
            <v>29.3</v>
          </cell>
        </row>
        <row r="351">
          <cell r="A351" t="str">
            <v>Residential_Building Shell_Air Sealing (Electric Heat)_ADJAirSealingHeatFan</v>
          </cell>
          <cell r="F351">
            <v>1.1299999999999999</v>
          </cell>
        </row>
        <row r="352">
          <cell r="A352" t="str">
            <v>Residential_Building Shell_Air Sealing (Electric Heat)_IENetCorrection</v>
          </cell>
          <cell r="F352">
            <v>1.1000000000000001</v>
          </cell>
        </row>
        <row r="353">
          <cell r="A353" t="str">
            <v>Residential_Building Shell_Air Sealing (Electric Heat)_Delta_kWh_heatingGas</v>
          </cell>
          <cell r="F353">
            <v>0</v>
          </cell>
        </row>
        <row r="354">
          <cell r="A354" t="str">
            <v>Residential_Building Shell_Air Sealing (Electric Heat)_Delta_kWh_heatingGas_Mid-Life_Adj</v>
          </cell>
          <cell r="F354">
            <v>0</v>
          </cell>
        </row>
        <row r="355">
          <cell r="A355" t="str">
            <v>Residential_Building Shell_Air Sealing (Electric Heat)_FLH_cooling</v>
          </cell>
          <cell r="F355" t="e">
            <v>#N/A</v>
          </cell>
        </row>
        <row r="356">
          <cell r="A356" t="str">
            <v>Residential_Building Shell_Air Sealing (Electric Heat)_CF</v>
          </cell>
          <cell r="F356">
            <v>0.68</v>
          </cell>
        </row>
        <row r="357">
          <cell r="A357" t="str">
            <v>Residential_Building Shell_Air Sealing (Electric Heat)_Delta_kW</v>
          </cell>
          <cell r="F357" t="e">
            <v>#N/A</v>
          </cell>
        </row>
        <row r="358">
          <cell r="A358" t="str">
            <v>Residential_Building Shell_Air Sealing (Electric Heat)_Delta_kW_Mid-Life_Adj</v>
          </cell>
          <cell r="F358" t="e">
            <v>#N/A</v>
          </cell>
        </row>
        <row r="359">
          <cell r="A359" t="str">
            <v>Residential_Building Shell_Air Sealing (Electric Heat)_CFM50_existing</v>
          </cell>
          <cell r="F359">
            <v>0</v>
          </cell>
        </row>
        <row r="360">
          <cell r="A360" t="str">
            <v>Residential_Building Shell_Air Sealing (Electric Heat)_CFM50_new</v>
          </cell>
          <cell r="F360">
            <v>0</v>
          </cell>
        </row>
        <row r="361">
          <cell r="A361" t="str">
            <v>Residential_Building Shell_Air Sealing (Electric Heat)_N_heat</v>
          </cell>
          <cell r="F361">
            <v>21.5</v>
          </cell>
        </row>
        <row r="362">
          <cell r="A362" t="str">
            <v>Residential_Building Shell_Air Sealing (Electric Heat)_60</v>
          </cell>
          <cell r="F362">
            <v>60</v>
          </cell>
        </row>
        <row r="363">
          <cell r="A363" t="str">
            <v>Residential_Building Shell_Air Sealing (Electric Heat)_24</v>
          </cell>
          <cell r="F363">
            <v>24</v>
          </cell>
        </row>
        <row r="364">
          <cell r="A364" t="str">
            <v>Residential_Building Shell_Air Sealing (Electric Heat)_HDD</v>
          </cell>
          <cell r="F364" t="e">
            <v>#N/A</v>
          </cell>
        </row>
        <row r="365">
          <cell r="A365" t="str">
            <v>Residential_Building Shell_Air Sealing (Electric Heat)_0.018</v>
          </cell>
          <cell r="F365">
            <v>1.7999999999999999E-2</v>
          </cell>
        </row>
        <row r="366">
          <cell r="A366" t="str">
            <v>Residential_Building Shell_Air Sealing (Electric Heat)_ηHeat</v>
          </cell>
          <cell r="F366" t="e">
            <v>#REF!</v>
          </cell>
        </row>
        <row r="367">
          <cell r="A367" t="str">
            <v>Residential_Building Shell_Air Sealing (Electric Heat)_ηHeat_Mid-Life_Adj</v>
          </cell>
          <cell r="F367" t="e">
            <v>#REF!</v>
          </cell>
        </row>
        <row r="368">
          <cell r="A368" t="str">
            <v>Residential_Building Shell_Air Sealing (Electric Heat)_100000</v>
          </cell>
          <cell r="F368">
            <v>100000</v>
          </cell>
        </row>
        <row r="369">
          <cell r="A369" t="str">
            <v>Residential_Building Shell_Air Sealing (Electric Heat)_ADJAirSealingGasHeat</v>
          </cell>
          <cell r="F369">
            <v>0.72</v>
          </cell>
        </row>
        <row r="370">
          <cell r="A370" t="str">
            <v>Residential_Building Shell_Air Sealing (Electric Heat)_IENetCorrection</v>
          </cell>
          <cell r="F370">
            <v>1.1000000000000001</v>
          </cell>
        </row>
        <row r="371">
          <cell r="A371" t="str">
            <v>Residential_Building Shell_Air Sealing (Electric Heat)_Delta_therms</v>
          </cell>
          <cell r="F371" t="e">
            <v>#N/A</v>
          </cell>
        </row>
        <row r="372">
          <cell r="A372" t="str">
            <v>Residential_Building Shell_Air Sealing (Electric Heat)_Delta_therms_Mid-Life_Adj</v>
          </cell>
          <cell r="F372" t="e">
            <v>#N/A</v>
          </cell>
        </row>
        <row r="373">
          <cell r="A373" t="str">
            <v>Residential_Building Shell_Air Sealing (Electric Heat)_Remaining Year kWh</v>
          </cell>
          <cell r="F373" t="e">
            <v>#N/A</v>
          </cell>
        </row>
        <row r="374">
          <cell r="A374" t="str">
            <v>Residential_Building Shell_Air Sealing (Electric Heat)_kWh Saved per Unit</v>
          </cell>
          <cell r="F374" t="e">
            <v>#N/A</v>
          </cell>
        </row>
        <row r="375">
          <cell r="A375" t="str">
            <v>Residential_Building Shell_Air Sealing (Electric Heat)_Remaining Year kW</v>
          </cell>
          <cell r="F375" t="e">
            <v>#N/A</v>
          </cell>
        </row>
        <row r="376">
          <cell r="A376" t="str">
            <v>Residential_Building Shell_Air Sealing (Electric Heat)_Coincident Peak kW Saved per Unit</v>
          </cell>
          <cell r="F376" t="e">
            <v>#N/A</v>
          </cell>
        </row>
        <row r="377">
          <cell r="A377" t="str">
            <v>Residential_Building Shell_Air Sealing (Electric Heat)_Remaining Year Therms</v>
          </cell>
          <cell r="F377">
            <v>0</v>
          </cell>
        </row>
        <row r="378">
          <cell r="A378" t="str">
            <v>Residential_Building Shell_Air Sealing (Electric Heat)_Therms Saved per Unit</v>
          </cell>
          <cell r="F378">
            <v>0</v>
          </cell>
        </row>
        <row r="379">
          <cell r="A379" t="str">
            <v>Residential_Building Shell_Air Sealing (Electric Heat)_Remaining Life</v>
          </cell>
          <cell r="F379">
            <v>10</v>
          </cell>
        </row>
        <row r="380">
          <cell r="A380" t="str">
            <v>Residential_Building Shell_Air Sealing (Electric Heat)_Lifetime (years)</v>
          </cell>
          <cell r="F380">
            <v>20</v>
          </cell>
        </row>
        <row r="381">
          <cell r="A381" t="str">
            <v>Residential_Building Shell_Air Sealing (Electric Heat)_Incremental Cost</v>
          </cell>
          <cell r="F381">
            <v>0</v>
          </cell>
        </row>
        <row r="382">
          <cell r="A382" t="str">
            <v>Residential_Building Shell_Air Sealing (Electric Heat)_BTU Impact_Existing_Fossil Fuel</v>
          </cell>
          <cell r="F382">
            <v>0</v>
          </cell>
        </row>
        <row r="383">
          <cell r="A383" t="str">
            <v>Residential_Building Shell_Air Sealing (Electric Heat)_BTU Impact_Existing_Winter Electricity</v>
          </cell>
          <cell r="F383">
            <v>0</v>
          </cell>
        </row>
        <row r="384">
          <cell r="A384" t="str">
            <v>Residential_Building Shell_Air Sealing (Electric Heat)_BTU Impact_Existing_Summer Electricity</v>
          </cell>
          <cell r="F384">
            <v>0</v>
          </cell>
        </row>
        <row r="385">
          <cell r="A385" t="str">
            <v>Residential_Building Shell_Air Sealing (Electric Heat)_BTU Impact_New_Fossil Fuel</v>
          </cell>
          <cell r="F385">
            <v>0</v>
          </cell>
        </row>
        <row r="386">
          <cell r="A386" t="str">
            <v>Residential_Building Shell_Air Sealing (Electric Heat)_BTU Impact_New_Winter Electricity</v>
          </cell>
          <cell r="F386" t="e">
            <v>#N/A</v>
          </cell>
        </row>
        <row r="387">
          <cell r="A387" t="str">
            <v>Residential_Building Shell_Air Sealing (Electric Heat)_BTU Impact_New_Summer Electricity</v>
          </cell>
          <cell r="F387" t="e">
            <v>#N/A</v>
          </cell>
        </row>
        <row r="388">
          <cell r="A388" t="str">
            <v>Residential_Building Shell_Air Sealing (Electric Heat)_</v>
          </cell>
        </row>
        <row r="389">
          <cell r="A389" t="str">
            <v>Residential_Building Shell_Ceiling/Attic Insulation #1 (Electric Heat)_R_old</v>
          </cell>
          <cell r="F389">
            <v>0</v>
          </cell>
        </row>
        <row r="390">
          <cell r="A390" t="str">
            <v>Residential_Building Shell_Ceiling/Attic Insulation #1 (Electric Heat)_R_attic</v>
          </cell>
          <cell r="F390">
            <v>0</v>
          </cell>
        </row>
        <row r="391">
          <cell r="A391" t="str">
            <v>Residential_Building Shell_Ceiling/Attic Insulation #1 (Electric Heat)_A_attic</v>
          </cell>
          <cell r="F391">
            <v>0</v>
          </cell>
        </row>
        <row r="392">
          <cell r="A392" t="str">
            <v>Residential_Building Shell_Ceiling/Attic Insulation #1 (Electric Heat)_Framing_factor_attic</v>
          </cell>
          <cell r="F392">
            <v>7.0000000000000007E-2</v>
          </cell>
        </row>
        <row r="393">
          <cell r="A393" t="str">
            <v>Residential_Building Shell_Ceiling/Attic Insulation #1 (Electric Heat)_24</v>
          </cell>
          <cell r="F393">
            <v>24</v>
          </cell>
        </row>
        <row r="394">
          <cell r="A394" t="str">
            <v>Residential_Building Shell_Ceiling/Attic Insulation #1 (Electric Heat)_CDD</v>
          </cell>
          <cell r="F394" t="e">
            <v>#N/A</v>
          </cell>
        </row>
        <row r="395">
          <cell r="A395" t="str">
            <v>Residential_Building Shell_Ceiling/Attic Insulation #1 (Electric Heat)_DUA</v>
          </cell>
          <cell r="F395">
            <v>0.75</v>
          </cell>
        </row>
        <row r="396">
          <cell r="A396" t="str">
            <v>Residential_Building Shell_Ceiling/Attic Insulation #1 (Electric Heat)_1000</v>
          </cell>
          <cell r="F396">
            <v>1000</v>
          </cell>
        </row>
        <row r="397">
          <cell r="A397" t="str">
            <v>Residential_Building Shell_Ceiling/Attic Insulation #1 (Electric Heat)_ηCool</v>
          </cell>
          <cell r="F397" t="e">
            <v>#REF!</v>
          </cell>
        </row>
        <row r="398">
          <cell r="A398" t="str">
            <v>Residential_Building Shell_Ceiling/Attic Insulation #1 (Electric Heat)_ηCool_Mid-Life_Adj</v>
          </cell>
          <cell r="F398" t="e">
            <v>#REF!</v>
          </cell>
        </row>
        <row r="399">
          <cell r="A399" t="str">
            <v>Residential_Building Shell_Ceiling/Attic Insulation #1 (Electric Heat)_ADJAtticCool</v>
          </cell>
          <cell r="F399">
            <v>1.1399999999999999</v>
          </cell>
        </row>
        <row r="400">
          <cell r="A400" t="str">
            <v>Residential_Building Shell_Ceiling/Attic Insulation #1 (Electric Heat)_IENetCorrection</v>
          </cell>
          <cell r="F400">
            <v>1.1000000000000001</v>
          </cell>
        </row>
        <row r="401">
          <cell r="A401" t="str">
            <v>Residential_Building Shell_Ceiling/Attic Insulation #1 (Electric Heat)_%Cool</v>
          </cell>
          <cell r="F401">
            <v>1</v>
          </cell>
        </row>
        <row r="402">
          <cell r="A402" t="str">
            <v>Residential_Building Shell_Ceiling/Attic Insulation #1 (Electric Heat)_Delta_kWh_cooling</v>
          </cell>
          <cell r="F402" t="e">
            <v>#DIV/0!</v>
          </cell>
        </row>
        <row r="403">
          <cell r="A403" t="str">
            <v>Residential_Building Shell_Ceiling/Attic Insulation #1 (Electric Heat)_Delta_kWh_cooling_Mid-Life_Adj</v>
          </cell>
          <cell r="F403" t="e">
            <v>#DIV/0!</v>
          </cell>
        </row>
        <row r="404">
          <cell r="A404" t="str">
            <v>Residential_Building Shell_Ceiling/Attic Insulation #1 (Electric Heat)_R_old</v>
          </cell>
          <cell r="F404">
            <v>0</v>
          </cell>
        </row>
        <row r="405">
          <cell r="A405" t="str">
            <v>Residential_Building Shell_Ceiling/Attic Insulation #1 (Electric Heat)_R_attic</v>
          </cell>
          <cell r="F405">
            <v>0</v>
          </cell>
        </row>
        <row r="406">
          <cell r="A406" t="str">
            <v>Residential_Building Shell_Ceiling/Attic Insulation #1 (Electric Heat)_A_attic</v>
          </cell>
          <cell r="F406">
            <v>0</v>
          </cell>
        </row>
        <row r="407">
          <cell r="A407" t="str">
            <v>Residential_Building Shell_Ceiling/Attic Insulation #1 (Electric Heat)_Framing_factor_attic</v>
          </cell>
          <cell r="F407">
            <v>7.0000000000000007E-2</v>
          </cell>
        </row>
        <row r="408">
          <cell r="A408" t="str">
            <v>Residential_Building Shell_Ceiling/Attic Insulation #1 (Electric Heat)_24</v>
          </cell>
          <cell r="F408">
            <v>24</v>
          </cell>
        </row>
        <row r="409">
          <cell r="A409" t="str">
            <v>Residential_Building Shell_Ceiling/Attic Insulation #1 (Electric Heat)_HDD</v>
          </cell>
          <cell r="F409" t="e">
            <v>#N/A</v>
          </cell>
        </row>
        <row r="410">
          <cell r="A410" t="str">
            <v>Residential_Building Shell_Ceiling/Attic Insulation #1 (Electric Heat)_ηHeat</v>
          </cell>
          <cell r="F410" t="e">
            <v>#REF!</v>
          </cell>
        </row>
        <row r="411">
          <cell r="A411" t="str">
            <v>Residential_Building Shell_Ceiling/Attic Insulation #1 (Electric Heat)_ηHeat_Mid-Life_Adj</v>
          </cell>
          <cell r="F411" t="e">
            <v>#REF!</v>
          </cell>
        </row>
        <row r="412">
          <cell r="A412" t="str">
            <v>Residential_Building Shell_Ceiling/Attic Insulation #1 (Electric Heat)_3412</v>
          </cell>
          <cell r="F412">
            <v>3412</v>
          </cell>
        </row>
        <row r="413">
          <cell r="A413" t="str">
            <v>Residential_Building Shell_Ceiling/Attic Insulation #1 (Electric Heat)_ADJAtticElectricHeat</v>
          </cell>
          <cell r="F413">
            <v>0.63</v>
          </cell>
        </row>
        <row r="414">
          <cell r="A414" t="str">
            <v>Residential_Building Shell_Ceiling/Attic Insulation #1 (Electric Heat)_%ElectricHeat</v>
          </cell>
          <cell r="F414">
            <v>1</v>
          </cell>
        </row>
        <row r="415">
          <cell r="A415" t="str">
            <v>Residential_Building Shell_Ceiling/Attic Insulation #1 (Electric Heat)_Delta_kWh_heatingElectric</v>
          </cell>
          <cell r="F415" t="e">
            <v>#DIV/0!</v>
          </cell>
        </row>
        <row r="416">
          <cell r="A416" t="str">
            <v>Residential_Building Shell_Ceiling/Attic Insulation #1 (Electric Heat)_Delta_kWh_heatingElectric_Mid-Life_Adj</v>
          </cell>
          <cell r="F416" t="e">
            <v>#DIV/0!</v>
          </cell>
        </row>
        <row r="417">
          <cell r="A417" t="str">
            <v>Residential_Building Shell_Ceiling/Attic Insulation #1 (Electric Heat)_Fe</v>
          </cell>
          <cell r="F417">
            <v>3.1399999999999997E-2</v>
          </cell>
        </row>
        <row r="418">
          <cell r="A418" t="str">
            <v>Residential_Building Shell_Ceiling/Attic Insulation #1 (Electric Heat)_29.3</v>
          </cell>
          <cell r="F418">
            <v>29.3</v>
          </cell>
        </row>
        <row r="419">
          <cell r="A419" t="str">
            <v>Residential_Building Shell_Ceiling/Attic Insulation #1 (Electric Heat)_ADJAtticHeatFan</v>
          </cell>
          <cell r="F419">
            <v>1.1299999999999999</v>
          </cell>
        </row>
        <row r="420">
          <cell r="A420" t="str">
            <v>Residential_Building Shell_Ceiling/Attic Insulation #1 (Electric Heat)_IENetCorrection</v>
          </cell>
          <cell r="F420">
            <v>1.1000000000000001</v>
          </cell>
        </row>
        <row r="421">
          <cell r="A421" t="str">
            <v>Residential_Building Shell_Ceiling/Attic Insulation #1 (Electric Heat)_Delta_kWh_heatingGas</v>
          </cell>
          <cell r="F421" t="e">
            <v>#DIV/0!</v>
          </cell>
        </row>
        <row r="422">
          <cell r="A422" t="str">
            <v>Residential_Building Shell_Ceiling/Attic Insulation #1 (Electric Heat)_Delta_kWh_heatingGas_Mid-Life_Adj</v>
          </cell>
          <cell r="F422" t="e">
            <v>#DIV/0!</v>
          </cell>
        </row>
        <row r="423">
          <cell r="A423" t="str">
            <v>Residential_Building Shell_Ceiling/Attic Insulation #1 (Electric Heat)_FLH_cooling</v>
          </cell>
          <cell r="F423" t="e">
            <v>#N/A</v>
          </cell>
        </row>
        <row r="424">
          <cell r="A424" t="str">
            <v>Residential_Building Shell_Ceiling/Attic Insulation #1 (Electric Heat)_CF</v>
          </cell>
          <cell r="F424">
            <v>0.68</v>
          </cell>
        </row>
        <row r="425">
          <cell r="A425" t="str">
            <v>Residential_Building Shell_Ceiling/Attic Insulation #1 (Electric Heat)_Delta_kW</v>
          </cell>
          <cell r="F425" t="e">
            <v>#DIV/0!</v>
          </cell>
        </row>
        <row r="426">
          <cell r="A426" t="str">
            <v>Residential_Building Shell_Ceiling/Attic Insulation #1 (Electric Heat)_Delta_kW_Mid-Life_Adj</v>
          </cell>
          <cell r="F426" t="e">
            <v>#DIV/0!</v>
          </cell>
        </row>
        <row r="427">
          <cell r="A427" t="str">
            <v>Residential_Building Shell_Ceiling/Attic Insulation #1 (Electric Heat)_R_old</v>
          </cell>
          <cell r="F427">
            <v>0</v>
          </cell>
        </row>
        <row r="428">
          <cell r="A428" t="str">
            <v>Residential_Building Shell_Ceiling/Attic Insulation #1 (Electric Heat)_R_attic</v>
          </cell>
          <cell r="F428">
            <v>0</v>
          </cell>
        </row>
        <row r="429">
          <cell r="A429" t="str">
            <v>Residential_Building Shell_Ceiling/Attic Insulation #1 (Electric Heat)_A_attic</v>
          </cell>
          <cell r="F429">
            <v>0</v>
          </cell>
        </row>
        <row r="430">
          <cell r="A430" t="str">
            <v>Residential_Building Shell_Ceiling/Attic Insulation #1 (Electric Heat)_Framing_factor_attic</v>
          </cell>
          <cell r="F430">
            <v>7.0000000000000007E-2</v>
          </cell>
        </row>
        <row r="431">
          <cell r="A431" t="str">
            <v>Residential_Building Shell_Ceiling/Attic Insulation #1 (Electric Heat)_24</v>
          </cell>
          <cell r="F431">
            <v>24</v>
          </cell>
        </row>
        <row r="432">
          <cell r="A432" t="str">
            <v>Residential_Building Shell_Ceiling/Attic Insulation #1 (Electric Heat)_HDD</v>
          </cell>
          <cell r="F432" t="e">
            <v>#N/A</v>
          </cell>
        </row>
        <row r="433">
          <cell r="A433" t="str">
            <v>Residential_Building Shell_Ceiling/Attic Insulation #1 (Electric Heat)_ηHeat</v>
          </cell>
          <cell r="F433" t="e">
            <v>#REF!</v>
          </cell>
        </row>
        <row r="434">
          <cell r="A434" t="str">
            <v>Residential_Building Shell_Ceiling/Attic Insulation #1 (Electric Heat)_ηHeat_Mid-Life_Adj</v>
          </cell>
          <cell r="F434" t="e">
            <v>#REF!</v>
          </cell>
        </row>
        <row r="435">
          <cell r="A435" t="str">
            <v>Residential_Building Shell_Ceiling/Attic Insulation #1 (Electric Heat)_100000</v>
          </cell>
          <cell r="F435">
            <v>100000</v>
          </cell>
        </row>
        <row r="436">
          <cell r="A436" t="str">
            <v>Residential_Building Shell_Ceiling/Attic Insulation #1 (Electric Heat)_ADJAtticGasHeat</v>
          </cell>
          <cell r="F436">
            <v>0.76</v>
          </cell>
        </row>
        <row r="437">
          <cell r="A437" t="str">
            <v>Residential_Building Shell_Ceiling/Attic Insulation #1 (Electric Heat)_IENetCorrection</v>
          </cell>
          <cell r="F437">
            <v>1.1000000000000001</v>
          </cell>
        </row>
        <row r="438">
          <cell r="A438" t="str">
            <v>Residential_Building Shell_Ceiling/Attic Insulation #1 (Electric Heat)_%GasHeat</v>
          </cell>
          <cell r="F438">
            <v>0</v>
          </cell>
        </row>
        <row r="439">
          <cell r="A439" t="str">
            <v>Residential_Building Shell_Ceiling/Attic Insulation #1 (Electric Heat)_Delta_therms</v>
          </cell>
          <cell r="F439" t="e">
            <v>#DIV/0!</v>
          </cell>
        </row>
        <row r="440">
          <cell r="A440" t="str">
            <v>Residential_Building Shell_Ceiling/Attic Insulation #1 (Electric Heat)_Delta_therms_Mid-Life_Adj</v>
          </cell>
          <cell r="F440" t="e">
            <v>#DIV/0!</v>
          </cell>
        </row>
        <row r="441">
          <cell r="A441" t="str">
            <v>Residential_Building Shell_Ceiling/Attic Insulation #1 (Electric Heat)_Remaining Year kWh</v>
          </cell>
          <cell r="F441" t="e">
            <v>#DIV/0!</v>
          </cell>
        </row>
        <row r="442">
          <cell r="A442" t="str">
            <v>Residential_Building Shell_Ceiling/Attic Insulation #1 (Electric Heat)_kWh Saved per Unit</v>
          </cell>
          <cell r="F442" t="e">
            <v>#DIV/0!</v>
          </cell>
        </row>
        <row r="443">
          <cell r="A443" t="str">
            <v>Residential_Building Shell_Ceiling/Attic Insulation #1 (Electric Heat)_Remaining Year kW</v>
          </cell>
          <cell r="F443" t="e">
            <v>#DIV/0!</v>
          </cell>
        </row>
        <row r="444">
          <cell r="A444" t="str">
            <v>Residential_Building Shell_Ceiling/Attic Insulation #1 (Electric Heat)_Coincident Peak kW Saved per Unit</v>
          </cell>
          <cell r="F444" t="e">
            <v>#DIV/0!</v>
          </cell>
        </row>
        <row r="445">
          <cell r="A445" t="str">
            <v>Residential_Building Shell_Ceiling/Attic Insulation #1 (Electric Heat)_Remaining Year Therms</v>
          </cell>
          <cell r="F445" t="e">
            <v>#DIV/0!</v>
          </cell>
        </row>
        <row r="446">
          <cell r="A446" t="str">
            <v>Residential_Building Shell_Ceiling/Attic Insulation #1 (Electric Heat)_Therms Saved per Unit</v>
          </cell>
          <cell r="F446" t="e">
            <v>#DIV/0!</v>
          </cell>
        </row>
        <row r="447">
          <cell r="A447" t="str">
            <v>Residential_Building Shell_Ceiling/Attic Insulation #1 (Electric Heat)_Remaining Life</v>
          </cell>
          <cell r="F447">
            <v>10</v>
          </cell>
        </row>
        <row r="448">
          <cell r="A448" t="str">
            <v>Residential_Building Shell_Ceiling/Attic Insulation #1 (Electric Heat)_Lifetime (years)</v>
          </cell>
          <cell r="F448">
            <v>30</v>
          </cell>
        </row>
        <row r="449">
          <cell r="A449" t="str">
            <v>Residential_Building Shell_Ceiling/Attic Insulation #1 (Electric Heat)_Incremental Cost</v>
          </cell>
          <cell r="F449">
            <v>0</v>
          </cell>
        </row>
        <row r="450">
          <cell r="A450" t="str">
            <v>Residential_Building Shell_Ceiling/Attic Insulation #1 (Electric Heat)_BTU Impact_Existing_Fossil Fuel</v>
          </cell>
          <cell r="F450">
            <v>0</v>
          </cell>
        </row>
        <row r="451">
          <cell r="A451" t="str">
            <v>Residential_Building Shell_Ceiling/Attic Insulation #1 (Electric Heat)_BTU Impact_Existing_Winter Electricity</v>
          </cell>
          <cell r="F451">
            <v>0</v>
          </cell>
        </row>
        <row r="452">
          <cell r="A452" t="str">
            <v>Residential_Building Shell_Ceiling/Attic Insulation #1 (Electric Heat)_BTU Impact_Existing_Summer Electricity</v>
          </cell>
          <cell r="F452">
            <v>0</v>
          </cell>
        </row>
        <row r="453">
          <cell r="A453" t="str">
            <v>Residential_Building Shell_Ceiling/Attic Insulation #1 (Electric Heat)_BTU Impact_New_Fossil Fuel</v>
          </cell>
          <cell r="F453">
            <v>0</v>
          </cell>
        </row>
        <row r="454">
          <cell r="A454" t="str">
            <v>Residential_Building Shell_Ceiling/Attic Insulation #1 (Electric Heat)_BTU Impact_New_Winter Electricity</v>
          </cell>
          <cell r="F454" t="e">
            <v>#DIV/0!</v>
          </cell>
        </row>
        <row r="455">
          <cell r="A455" t="str">
            <v>Residential_Building Shell_Ceiling/Attic Insulation #1 (Electric Heat)_BTU Impact_New_Summer Electricity</v>
          </cell>
          <cell r="F455" t="e">
            <v>#DIV/0!</v>
          </cell>
        </row>
        <row r="456">
          <cell r="A456" t="str">
            <v>Residential_Building Shell_Ceiling/Attic Insulation #1 (Electric Heat)_</v>
          </cell>
        </row>
        <row r="457">
          <cell r="A457" t="str">
            <v>Residential_Building Shell_Ceiling/Attic Insulation #2 (Electric Heat)_R_old</v>
          </cell>
          <cell r="F457">
            <v>0</v>
          </cell>
        </row>
        <row r="458">
          <cell r="A458" t="str">
            <v>Residential_Building Shell_Ceiling/Attic Insulation #2 (Electric Heat)_R_attic</v>
          </cell>
          <cell r="F458">
            <v>0</v>
          </cell>
        </row>
        <row r="459">
          <cell r="A459" t="str">
            <v>Residential_Building Shell_Ceiling/Attic Insulation #2 (Electric Heat)_A_attic</v>
          </cell>
          <cell r="F459">
            <v>0</v>
          </cell>
        </row>
        <row r="460">
          <cell r="A460" t="str">
            <v>Residential_Building Shell_Ceiling/Attic Insulation #2 (Electric Heat)_Framing_factor_attic</v>
          </cell>
          <cell r="F460">
            <v>7.0000000000000007E-2</v>
          </cell>
        </row>
        <row r="461">
          <cell r="A461" t="str">
            <v>Residential_Building Shell_Ceiling/Attic Insulation #2 (Electric Heat)_24</v>
          </cell>
          <cell r="F461">
            <v>24</v>
          </cell>
        </row>
        <row r="462">
          <cell r="A462" t="str">
            <v>Residential_Building Shell_Ceiling/Attic Insulation #2 (Electric Heat)_CDD</v>
          </cell>
          <cell r="F462" t="e">
            <v>#N/A</v>
          </cell>
        </row>
        <row r="463">
          <cell r="A463" t="str">
            <v>Residential_Building Shell_Ceiling/Attic Insulation #2 (Electric Heat)_DUA</v>
          </cell>
          <cell r="F463">
            <v>0.75</v>
          </cell>
        </row>
        <row r="464">
          <cell r="A464" t="str">
            <v>Residential_Building Shell_Ceiling/Attic Insulation #2 (Electric Heat)_1000</v>
          </cell>
          <cell r="F464">
            <v>1000</v>
          </cell>
        </row>
        <row r="465">
          <cell r="A465" t="str">
            <v>Residential_Building Shell_Ceiling/Attic Insulation #2 (Electric Heat)_ηCool</v>
          </cell>
          <cell r="F465" t="e">
            <v>#REF!</v>
          </cell>
        </row>
        <row r="466">
          <cell r="A466" t="str">
            <v>Residential_Building Shell_Ceiling/Attic Insulation #2 (Electric Heat)_ηCool_Mid-Life_Adj</v>
          </cell>
          <cell r="F466" t="e">
            <v>#REF!</v>
          </cell>
        </row>
        <row r="467">
          <cell r="A467" t="str">
            <v>Residential_Building Shell_Ceiling/Attic Insulation #2 (Electric Heat)_ADJAtticCool</v>
          </cell>
          <cell r="F467">
            <v>1.1399999999999999</v>
          </cell>
        </row>
        <row r="468">
          <cell r="A468" t="str">
            <v>Residential_Building Shell_Ceiling/Attic Insulation #2 (Electric Heat)_IENetCorrection</v>
          </cell>
          <cell r="F468">
            <v>1.1000000000000001</v>
          </cell>
        </row>
        <row r="469">
          <cell r="A469" t="str">
            <v>Residential_Building Shell_Ceiling/Attic Insulation #2 (Electric Heat)_%Cool</v>
          </cell>
          <cell r="F469">
            <v>1</v>
          </cell>
        </row>
        <row r="470">
          <cell r="A470" t="str">
            <v>Residential_Building Shell_Ceiling/Attic Insulation #2 (Electric Heat)_Delta_kWh_cooling</v>
          </cell>
          <cell r="F470" t="e">
            <v>#DIV/0!</v>
          </cell>
        </row>
        <row r="471">
          <cell r="A471" t="str">
            <v>Residential_Building Shell_Ceiling/Attic Insulation #2 (Electric Heat)_Delta_kWh_cooling_Mid-Life_Adj</v>
          </cell>
          <cell r="F471" t="e">
            <v>#DIV/0!</v>
          </cell>
        </row>
        <row r="472">
          <cell r="A472" t="str">
            <v>Residential_Building Shell_Ceiling/Attic Insulation #2 (Electric Heat)_R_old</v>
          </cell>
          <cell r="F472">
            <v>0</v>
          </cell>
        </row>
        <row r="473">
          <cell r="A473" t="str">
            <v>Residential_Building Shell_Ceiling/Attic Insulation #2 (Electric Heat)_R_attic</v>
          </cell>
          <cell r="F473">
            <v>0</v>
          </cell>
        </row>
        <row r="474">
          <cell r="A474" t="str">
            <v>Residential_Building Shell_Ceiling/Attic Insulation #2 (Electric Heat)_A_attic</v>
          </cell>
          <cell r="F474">
            <v>0</v>
          </cell>
        </row>
        <row r="475">
          <cell r="A475" t="str">
            <v>Residential_Building Shell_Ceiling/Attic Insulation #2 (Electric Heat)_Framing_factor_attic</v>
          </cell>
          <cell r="F475">
            <v>7.0000000000000007E-2</v>
          </cell>
        </row>
        <row r="476">
          <cell r="A476" t="str">
            <v>Residential_Building Shell_Ceiling/Attic Insulation #2 (Electric Heat)_24</v>
          </cell>
          <cell r="F476">
            <v>24</v>
          </cell>
        </row>
        <row r="477">
          <cell r="A477" t="str">
            <v>Residential_Building Shell_Ceiling/Attic Insulation #2 (Electric Heat)_HDD</v>
          </cell>
          <cell r="F477" t="e">
            <v>#N/A</v>
          </cell>
        </row>
        <row r="478">
          <cell r="A478" t="str">
            <v>Residential_Building Shell_Ceiling/Attic Insulation #2 (Electric Heat)_ηHeat</v>
          </cell>
          <cell r="F478" t="e">
            <v>#REF!</v>
          </cell>
        </row>
        <row r="479">
          <cell r="A479" t="str">
            <v>Residential_Building Shell_Ceiling/Attic Insulation #2 (Electric Heat)_ηHeat_Mid-Life_Adj</v>
          </cell>
          <cell r="F479" t="e">
            <v>#REF!</v>
          </cell>
        </row>
        <row r="480">
          <cell r="A480" t="str">
            <v>Residential_Building Shell_Ceiling/Attic Insulation #2 (Electric Heat)_3412</v>
          </cell>
          <cell r="F480">
            <v>3412</v>
          </cell>
        </row>
        <row r="481">
          <cell r="A481" t="str">
            <v>Residential_Building Shell_Ceiling/Attic Insulation #2 (Electric Heat)_ADJAtticElectricHeat</v>
          </cell>
          <cell r="F481">
            <v>0.63</v>
          </cell>
        </row>
        <row r="482">
          <cell r="A482" t="str">
            <v>Residential_Building Shell_Ceiling/Attic Insulation #2 (Electric Heat)_%ElectricHeat</v>
          </cell>
          <cell r="F482">
            <v>1</v>
          </cell>
        </row>
        <row r="483">
          <cell r="A483" t="str">
            <v>Residential_Building Shell_Ceiling/Attic Insulation #2 (Electric Heat)_Delta_kWh_heatingElectric</v>
          </cell>
          <cell r="F483" t="e">
            <v>#DIV/0!</v>
          </cell>
        </row>
        <row r="484">
          <cell r="A484" t="str">
            <v>Residential_Building Shell_Ceiling/Attic Insulation #2 (Electric Heat)_Delta_kWh_heatingElectric_Mid-Life_Adj</v>
          </cell>
          <cell r="F484" t="e">
            <v>#DIV/0!</v>
          </cell>
        </row>
        <row r="485">
          <cell r="A485" t="str">
            <v>Residential_Building Shell_Ceiling/Attic Insulation #2 (Electric Heat)_Fe</v>
          </cell>
          <cell r="F485">
            <v>3.1399999999999997E-2</v>
          </cell>
        </row>
        <row r="486">
          <cell r="A486" t="str">
            <v>Residential_Building Shell_Ceiling/Attic Insulation #2 (Electric Heat)_29.3</v>
          </cell>
          <cell r="F486">
            <v>29.3</v>
          </cell>
        </row>
        <row r="487">
          <cell r="A487" t="str">
            <v>Residential_Building Shell_Ceiling/Attic Insulation #2 (Electric Heat)_ADJAtticHeatFan</v>
          </cell>
          <cell r="F487">
            <v>1.1299999999999999</v>
          </cell>
        </row>
        <row r="488">
          <cell r="A488" t="str">
            <v>Residential_Building Shell_Ceiling/Attic Insulation #2 (Electric Heat)_IENetCorrection</v>
          </cell>
          <cell r="F488">
            <v>1.1000000000000001</v>
          </cell>
        </row>
        <row r="489">
          <cell r="A489" t="str">
            <v>Residential_Building Shell_Ceiling/Attic Insulation #2 (Electric Heat)_Delta_kWh_heatingGas</v>
          </cell>
          <cell r="F489" t="e">
            <v>#DIV/0!</v>
          </cell>
        </row>
        <row r="490">
          <cell r="A490" t="str">
            <v>Residential_Building Shell_Ceiling/Attic Insulation #2 (Electric Heat)_Delta_kWh_heatingGas_Mid-Life_Adj</v>
          </cell>
          <cell r="F490" t="e">
            <v>#DIV/0!</v>
          </cell>
        </row>
        <row r="491">
          <cell r="A491" t="str">
            <v>Residential_Building Shell_Ceiling/Attic Insulation #2 (Electric Heat)_FLH_cooling</v>
          </cell>
          <cell r="F491" t="e">
            <v>#N/A</v>
          </cell>
        </row>
        <row r="492">
          <cell r="A492" t="str">
            <v>Residential_Building Shell_Ceiling/Attic Insulation #2 (Electric Heat)_CF</v>
          </cell>
          <cell r="F492">
            <v>0.68</v>
          </cell>
        </row>
        <row r="493">
          <cell r="A493" t="str">
            <v>Residential_Building Shell_Ceiling/Attic Insulation #2 (Electric Heat)_Delta_kW</v>
          </cell>
          <cell r="F493" t="e">
            <v>#DIV/0!</v>
          </cell>
        </row>
        <row r="494">
          <cell r="A494" t="str">
            <v>Residential_Building Shell_Ceiling/Attic Insulation #2 (Electric Heat)_Delta_kW_Mid-Life_Adj</v>
          </cell>
          <cell r="F494" t="e">
            <v>#DIV/0!</v>
          </cell>
        </row>
        <row r="495">
          <cell r="A495" t="str">
            <v>Residential_Building Shell_Ceiling/Attic Insulation #2 (Electric Heat)_R_old</v>
          </cell>
          <cell r="F495">
            <v>0</v>
          </cell>
        </row>
        <row r="496">
          <cell r="A496" t="str">
            <v>Residential_Building Shell_Ceiling/Attic Insulation #2 (Electric Heat)_R_attic</v>
          </cell>
          <cell r="F496">
            <v>0</v>
          </cell>
        </row>
        <row r="497">
          <cell r="A497" t="str">
            <v>Residential_Building Shell_Ceiling/Attic Insulation #2 (Electric Heat)_A_attic</v>
          </cell>
          <cell r="F497">
            <v>0</v>
          </cell>
        </row>
        <row r="498">
          <cell r="A498" t="str">
            <v>Residential_Building Shell_Ceiling/Attic Insulation #2 (Electric Heat)_Framing_factor_attic</v>
          </cell>
          <cell r="F498">
            <v>7.0000000000000007E-2</v>
          </cell>
        </row>
        <row r="499">
          <cell r="A499" t="str">
            <v>Residential_Building Shell_Ceiling/Attic Insulation #2 (Electric Heat)_24</v>
          </cell>
          <cell r="F499">
            <v>24</v>
          </cell>
        </row>
        <row r="500">
          <cell r="A500" t="str">
            <v>Residential_Building Shell_Ceiling/Attic Insulation #2 (Electric Heat)_HDD</v>
          </cell>
          <cell r="F500" t="e">
            <v>#N/A</v>
          </cell>
        </row>
        <row r="501">
          <cell r="A501" t="str">
            <v>Residential_Building Shell_Ceiling/Attic Insulation #2 (Electric Heat)_ηHeat</v>
          </cell>
          <cell r="F501" t="e">
            <v>#REF!</v>
          </cell>
        </row>
        <row r="502">
          <cell r="A502" t="str">
            <v>Residential_Building Shell_Ceiling/Attic Insulation #2 (Electric Heat)_ηHeat_Mid-Life_Adj</v>
          </cell>
          <cell r="F502" t="e">
            <v>#REF!</v>
          </cell>
        </row>
        <row r="503">
          <cell r="A503" t="str">
            <v>Residential_Building Shell_Ceiling/Attic Insulation #2 (Electric Heat)_100000</v>
          </cell>
          <cell r="F503">
            <v>100000</v>
          </cell>
        </row>
        <row r="504">
          <cell r="A504" t="str">
            <v>Residential_Building Shell_Ceiling/Attic Insulation #2 (Electric Heat)_ADJAtticGasHeat</v>
          </cell>
          <cell r="F504">
            <v>0.76</v>
          </cell>
        </row>
        <row r="505">
          <cell r="A505" t="str">
            <v>Residential_Building Shell_Ceiling/Attic Insulation #2 (Electric Heat)_IENetCorrection</v>
          </cell>
          <cell r="F505">
            <v>1.1000000000000001</v>
          </cell>
        </row>
        <row r="506">
          <cell r="A506" t="str">
            <v>Residential_Building Shell_Ceiling/Attic Insulation #2 (Electric Heat)_%GasHeat</v>
          </cell>
          <cell r="F506">
            <v>0</v>
          </cell>
        </row>
        <row r="507">
          <cell r="A507" t="str">
            <v>Residential_Building Shell_Ceiling/Attic Insulation #2 (Electric Heat)_Delta_therms</v>
          </cell>
          <cell r="F507" t="e">
            <v>#DIV/0!</v>
          </cell>
        </row>
        <row r="508">
          <cell r="A508" t="str">
            <v>Residential_Building Shell_Ceiling/Attic Insulation #2 (Electric Heat)_Delta_therms_Mid-Life_Adj</v>
          </cell>
          <cell r="F508" t="e">
            <v>#DIV/0!</v>
          </cell>
        </row>
        <row r="509">
          <cell r="A509" t="str">
            <v>Residential_Building Shell_Ceiling/Attic Insulation #2 (Electric Heat)_Remaining Year kWh</v>
          </cell>
          <cell r="F509" t="e">
            <v>#DIV/0!</v>
          </cell>
        </row>
        <row r="510">
          <cell r="A510" t="str">
            <v>Residential_Building Shell_Ceiling/Attic Insulation #2 (Electric Heat)_kWh Saved per Unit</v>
          </cell>
          <cell r="F510" t="e">
            <v>#DIV/0!</v>
          </cell>
        </row>
        <row r="511">
          <cell r="A511" t="str">
            <v>Residential_Building Shell_Ceiling/Attic Insulation #2 (Electric Heat)_Remaining Year kW</v>
          </cell>
          <cell r="F511" t="e">
            <v>#DIV/0!</v>
          </cell>
        </row>
        <row r="512">
          <cell r="A512" t="str">
            <v>Residential_Building Shell_Ceiling/Attic Insulation #2 (Electric Heat)_Coincident Peak kW Saved per Unit</v>
          </cell>
          <cell r="F512" t="e">
            <v>#DIV/0!</v>
          </cell>
        </row>
        <row r="513">
          <cell r="A513" t="str">
            <v>Residential_Building Shell_Ceiling/Attic Insulation #2 (Electric Heat)_Remaining Year Therms</v>
          </cell>
          <cell r="F513" t="e">
            <v>#DIV/0!</v>
          </cell>
        </row>
        <row r="514">
          <cell r="A514" t="str">
            <v>Residential_Building Shell_Ceiling/Attic Insulation #2 (Electric Heat)_Therms Saved per Unit</v>
          </cell>
          <cell r="F514" t="e">
            <v>#DIV/0!</v>
          </cell>
        </row>
        <row r="515">
          <cell r="A515" t="str">
            <v>Residential_Building Shell_Ceiling/Attic Insulation #2 (Electric Heat)_Remaining Life</v>
          </cell>
          <cell r="F515">
            <v>10</v>
          </cell>
        </row>
        <row r="516">
          <cell r="A516" t="str">
            <v>Residential_Building Shell_Ceiling/Attic Insulation #2 (Electric Heat)_Lifetime (years)</v>
          </cell>
          <cell r="F516">
            <v>30</v>
          </cell>
        </row>
        <row r="517">
          <cell r="A517" t="str">
            <v>Residential_Building Shell_Ceiling/Attic Insulation #2 (Electric Heat)_Incremental Cost</v>
          </cell>
          <cell r="F517">
            <v>0</v>
          </cell>
        </row>
        <row r="518">
          <cell r="A518" t="str">
            <v>Residential_Building Shell_Ceiling/Attic Insulation #2 (Electric Heat)_BTU Impact_Existing_Fossil Fuel</v>
          </cell>
          <cell r="F518">
            <v>0</v>
          </cell>
        </row>
        <row r="519">
          <cell r="A519" t="str">
            <v>Residential_Building Shell_Ceiling/Attic Insulation #2 (Electric Heat)_BTU Impact_Existing_Winter Electricity</v>
          </cell>
          <cell r="F519">
            <v>0</v>
          </cell>
        </row>
        <row r="520">
          <cell r="A520" t="str">
            <v>Residential_Building Shell_Ceiling/Attic Insulation #2 (Electric Heat)_BTU Impact_Existing_Summer Electricity</v>
          </cell>
          <cell r="F520">
            <v>0</v>
          </cell>
        </row>
        <row r="521">
          <cell r="A521" t="str">
            <v>Residential_Building Shell_Ceiling/Attic Insulation #2 (Electric Heat)_BTU Impact_New_Fossil Fuel</v>
          </cell>
          <cell r="F521">
            <v>0</v>
          </cell>
        </row>
        <row r="522">
          <cell r="A522" t="str">
            <v>Residential_Building Shell_Ceiling/Attic Insulation #2 (Electric Heat)_BTU Impact_New_Winter Electricity</v>
          </cell>
          <cell r="F522" t="e">
            <v>#DIV/0!</v>
          </cell>
        </row>
        <row r="523">
          <cell r="A523" t="str">
            <v>Residential_Building Shell_Ceiling/Attic Insulation #2 (Electric Heat)_BTU Impact_New_Summer Electricity</v>
          </cell>
          <cell r="F523" t="e">
            <v>#DIV/0!</v>
          </cell>
        </row>
        <row r="524">
          <cell r="A524" t="str">
            <v>Residential_Building Shell_Ceiling/Attic Insulation #2 (Electric Heat)_</v>
          </cell>
        </row>
        <row r="525">
          <cell r="A525" t="str">
            <v>Residential_Building Shell_Attic Kneewall Insulation #1 (Electric Heat)_R_old</v>
          </cell>
          <cell r="F525">
            <v>1</v>
          </cell>
        </row>
        <row r="526">
          <cell r="A526" t="str">
            <v>Residential_Building Shell_Attic Kneewall Insulation #1 (Electric Heat)_R_wall</v>
          </cell>
          <cell r="F526">
            <v>0</v>
          </cell>
        </row>
        <row r="527">
          <cell r="A527" t="str">
            <v>Residential_Building Shell_Attic Kneewall Insulation #1 (Electric Heat)_A_wall</v>
          </cell>
          <cell r="F527">
            <v>0</v>
          </cell>
        </row>
        <row r="528">
          <cell r="A528" t="str">
            <v>Residential_Building Shell_Attic Kneewall Insulation #1 (Electric Heat)_Framing_factor_wall</v>
          </cell>
          <cell r="F528">
            <v>0.25</v>
          </cell>
        </row>
        <row r="529">
          <cell r="A529" t="str">
            <v>Residential_Building Shell_Attic Kneewall Insulation #1 (Electric Heat)_24</v>
          </cell>
          <cell r="F529">
            <v>24</v>
          </cell>
        </row>
        <row r="530">
          <cell r="A530" t="str">
            <v>Residential_Building Shell_Attic Kneewall Insulation #1 (Electric Heat)_CDD</v>
          </cell>
          <cell r="F530" t="e">
            <v>#N/A</v>
          </cell>
        </row>
        <row r="531">
          <cell r="A531" t="str">
            <v>Residential_Building Shell_Attic Kneewall Insulation #1 (Electric Heat)_DUA</v>
          </cell>
          <cell r="F531">
            <v>0.75</v>
          </cell>
        </row>
        <row r="532">
          <cell r="A532" t="str">
            <v>Residential_Building Shell_Attic Kneewall Insulation #1 (Electric Heat)_1000</v>
          </cell>
          <cell r="F532">
            <v>1000</v>
          </cell>
        </row>
        <row r="533">
          <cell r="A533" t="str">
            <v>Residential_Building Shell_Attic Kneewall Insulation #1 (Electric Heat)_ηCool</v>
          </cell>
          <cell r="F533" t="e">
            <v>#REF!</v>
          </cell>
        </row>
        <row r="534">
          <cell r="A534" t="str">
            <v>Residential_Building Shell_Attic Kneewall Insulation #1 (Electric Heat)_ηCool_Mid-Life_Adj</v>
          </cell>
          <cell r="F534" t="e">
            <v>#REF!</v>
          </cell>
        </row>
        <row r="535">
          <cell r="A535" t="str">
            <v>Residential_Building Shell_Attic Kneewall Insulation #1 (Electric Heat)_ADJWallCool</v>
          </cell>
          <cell r="F535">
            <v>0.75</v>
          </cell>
        </row>
        <row r="536">
          <cell r="A536" t="str">
            <v>Residential_Building Shell_Attic Kneewall Insulation #1 (Electric Heat)_%Cool</v>
          </cell>
          <cell r="F536">
            <v>1</v>
          </cell>
        </row>
        <row r="537">
          <cell r="A537" t="str">
            <v>Residential_Building Shell_Attic Kneewall Insulation #1 (Electric Heat)_Delta_kWh_cooling</v>
          </cell>
          <cell r="F537" t="e">
            <v>#DIV/0!</v>
          </cell>
        </row>
        <row r="538">
          <cell r="A538" t="str">
            <v>Residential_Building Shell_Attic Kneewall Insulation #1 (Electric Heat)_Delta_kWh_cooling_Mid-Life_Adj</v>
          </cell>
          <cell r="F538" t="e">
            <v>#DIV/0!</v>
          </cell>
        </row>
        <row r="539">
          <cell r="A539" t="str">
            <v>Residential_Building Shell_Attic Kneewall Insulation #1 (Electric Heat)_R_old</v>
          </cell>
          <cell r="F539">
            <v>1</v>
          </cell>
        </row>
        <row r="540">
          <cell r="A540" t="str">
            <v>Residential_Building Shell_Attic Kneewall Insulation #1 (Electric Heat)_R_wall</v>
          </cell>
          <cell r="F540">
            <v>0</v>
          </cell>
        </row>
        <row r="541">
          <cell r="A541" t="str">
            <v>Residential_Building Shell_Attic Kneewall Insulation #1 (Electric Heat)_A_wall</v>
          </cell>
          <cell r="F541">
            <v>0</v>
          </cell>
        </row>
        <row r="542">
          <cell r="A542" t="str">
            <v>Residential_Building Shell_Attic Kneewall Insulation #1 (Electric Heat)_Framing_factor_wall</v>
          </cell>
          <cell r="F542">
            <v>0.25</v>
          </cell>
        </row>
        <row r="543">
          <cell r="A543" t="str">
            <v>Residential_Building Shell_Attic Kneewall Insulation #1 (Electric Heat)_24</v>
          </cell>
          <cell r="F543">
            <v>24</v>
          </cell>
        </row>
        <row r="544">
          <cell r="A544" t="str">
            <v>Residential_Building Shell_Attic Kneewall Insulation #1 (Electric Heat)_HDD</v>
          </cell>
          <cell r="F544" t="e">
            <v>#N/A</v>
          </cell>
        </row>
        <row r="545">
          <cell r="A545" t="str">
            <v>Residential_Building Shell_Attic Kneewall Insulation #1 (Electric Heat)_ηHeat</v>
          </cell>
          <cell r="F545" t="e">
            <v>#REF!</v>
          </cell>
        </row>
        <row r="546">
          <cell r="A546" t="str">
            <v>Residential_Building Shell_Attic Kneewall Insulation #1 (Electric Heat)_ηHeat_Mid-Life_Adj</v>
          </cell>
          <cell r="F546" t="e">
            <v>#REF!</v>
          </cell>
        </row>
        <row r="547">
          <cell r="A547" t="str">
            <v>Residential_Building Shell_Attic Kneewall Insulation #1 (Electric Heat)_3412</v>
          </cell>
          <cell r="F547">
            <v>3412</v>
          </cell>
        </row>
        <row r="548">
          <cell r="A548" t="str">
            <v>Residential_Building Shell_Attic Kneewall Insulation #1 (Electric Heat)_ADJWallHeat</v>
          </cell>
          <cell r="F548">
            <v>0.63</v>
          </cell>
        </row>
        <row r="549">
          <cell r="A549" t="str">
            <v>Residential_Building Shell_Attic Kneewall Insulation #1 (Electric Heat)_%ElectricHeat</v>
          </cell>
          <cell r="F549">
            <v>1</v>
          </cell>
        </row>
        <row r="550">
          <cell r="A550" t="str">
            <v>Residential_Building Shell_Attic Kneewall Insulation #1 (Electric Heat)_Delta_kWh_heatingElectric</v>
          </cell>
          <cell r="F550" t="e">
            <v>#DIV/0!</v>
          </cell>
        </row>
        <row r="551">
          <cell r="A551" t="str">
            <v>Residential_Building Shell_Attic Kneewall Insulation #1 (Electric Heat)_Delta_kWh_heatingElectric_Mid-Life_Adj</v>
          </cell>
          <cell r="F551" t="e">
            <v>#DIV/0!</v>
          </cell>
        </row>
        <row r="552">
          <cell r="A552" t="str">
            <v>Residential_Building Shell_Attic Kneewall Insulation #1 (Electric Heat)_Delta_Therms</v>
          </cell>
          <cell r="F552" t="e">
            <v>#DIV/0!</v>
          </cell>
        </row>
        <row r="553">
          <cell r="A553" t="str">
            <v>Residential_Building Shell_Attic Kneewall Insulation #1 (Electric Heat)_Delta_Therms_Mid-Life_Adj</v>
          </cell>
          <cell r="F553" t="e">
            <v>#DIV/0!</v>
          </cell>
        </row>
        <row r="554">
          <cell r="A554" t="str">
            <v>Residential_Building Shell_Attic Kneewall Insulation #1 (Electric Heat)_Fe</v>
          </cell>
          <cell r="F554">
            <v>3.1399999999999997E-2</v>
          </cell>
        </row>
        <row r="555">
          <cell r="A555" t="str">
            <v>Residential_Building Shell_Attic Kneewall Insulation #1 (Electric Heat)_29.3</v>
          </cell>
          <cell r="F555">
            <v>29.3</v>
          </cell>
        </row>
        <row r="556">
          <cell r="A556" t="str">
            <v>Residential_Building Shell_Attic Kneewall Insulation #1 (Electric Heat)_Delta_kWh_heatingGas</v>
          </cell>
          <cell r="F556" t="e">
            <v>#DIV/0!</v>
          </cell>
        </row>
        <row r="557">
          <cell r="A557" t="str">
            <v>Residential_Building Shell_Attic Kneewall Insulation #1 (Electric Heat)_Delta_kWh_heatingGas_Mid-Life_Adj</v>
          </cell>
          <cell r="F557" t="e">
            <v>#DIV/0!</v>
          </cell>
        </row>
        <row r="558">
          <cell r="A558" t="str">
            <v>Residential_Building Shell_Attic Kneewall Insulation #1 (Electric Heat)_FLH_cooling</v>
          </cell>
          <cell r="F558" t="e">
            <v>#N/A</v>
          </cell>
        </row>
        <row r="559">
          <cell r="A559" t="str">
            <v>Residential_Building Shell_Attic Kneewall Insulation #1 (Electric Heat)_CF</v>
          </cell>
          <cell r="F559">
            <v>0.68</v>
          </cell>
        </row>
        <row r="560">
          <cell r="A560" t="str">
            <v>Residential_Building Shell_Attic Kneewall Insulation #1 (Electric Heat)_Delta_kW</v>
          </cell>
          <cell r="F560" t="e">
            <v>#DIV/0!</v>
          </cell>
        </row>
        <row r="561">
          <cell r="A561" t="str">
            <v>Residential_Building Shell_Attic Kneewall Insulation #1 (Electric Heat)_Delta_kW_Mid-Life_Adj</v>
          </cell>
          <cell r="F561" t="e">
            <v>#DIV/0!</v>
          </cell>
        </row>
        <row r="562">
          <cell r="A562" t="str">
            <v>Residential_Building Shell_Attic Kneewall Insulation #1 (Electric Heat)_R_old</v>
          </cell>
          <cell r="F562">
            <v>1</v>
          </cell>
        </row>
        <row r="563">
          <cell r="A563" t="str">
            <v>Residential_Building Shell_Attic Kneewall Insulation #1 (Electric Heat)_R_wall</v>
          </cell>
          <cell r="F563">
            <v>0</v>
          </cell>
        </row>
        <row r="564">
          <cell r="A564" t="str">
            <v>Residential_Building Shell_Attic Kneewall Insulation #1 (Electric Heat)_A_wall</v>
          </cell>
          <cell r="F564">
            <v>0</v>
          </cell>
        </row>
        <row r="565">
          <cell r="A565" t="str">
            <v>Residential_Building Shell_Attic Kneewall Insulation #1 (Electric Heat)_Framing_factor_wall</v>
          </cell>
          <cell r="F565">
            <v>0.25</v>
          </cell>
        </row>
        <row r="566">
          <cell r="A566" t="str">
            <v>Residential_Building Shell_Attic Kneewall Insulation #1 (Electric Heat)_24</v>
          </cell>
          <cell r="F566">
            <v>24</v>
          </cell>
        </row>
        <row r="567">
          <cell r="A567" t="str">
            <v>Residential_Building Shell_Attic Kneewall Insulation #1 (Electric Heat)_HDD</v>
          </cell>
          <cell r="F567" t="e">
            <v>#N/A</v>
          </cell>
        </row>
        <row r="568">
          <cell r="A568" t="str">
            <v>Residential_Building Shell_Attic Kneewall Insulation #1 (Electric Heat)_ηHeat</v>
          </cell>
          <cell r="F568" t="e">
            <v>#REF!</v>
          </cell>
        </row>
        <row r="569">
          <cell r="A569" t="str">
            <v>Residential_Building Shell_Attic Kneewall Insulation #1 (Electric Heat)_ηHeat_Mid-Life_Adj</v>
          </cell>
          <cell r="F569" t="e">
            <v>#REF!</v>
          </cell>
        </row>
        <row r="570">
          <cell r="A570" t="str">
            <v>Residential_Building Shell_Attic Kneewall Insulation #1 (Electric Heat)_100000</v>
          </cell>
          <cell r="F570">
            <v>100000</v>
          </cell>
        </row>
        <row r="571">
          <cell r="A571" t="str">
            <v>Residential_Building Shell_Attic Kneewall Insulation #1 (Electric Heat)_ADJWallHeat</v>
          </cell>
          <cell r="F571">
            <v>0.63</v>
          </cell>
        </row>
        <row r="572">
          <cell r="A572" t="str">
            <v>Residential_Building Shell_Attic Kneewall Insulation #1 (Electric Heat)_%GasHeat</v>
          </cell>
          <cell r="F572">
            <v>0</v>
          </cell>
        </row>
        <row r="573">
          <cell r="A573" t="str">
            <v>Residential_Building Shell_Attic Kneewall Insulation #1 (Electric Heat)_Delta_Therms</v>
          </cell>
          <cell r="F573" t="e">
            <v>#DIV/0!</v>
          </cell>
        </row>
        <row r="574">
          <cell r="A574" t="str">
            <v>Residential_Building Shell_Attic Kneewall Insulation #1 (Electric Heat)_Delta_Therms_Mid-Life_Adj</v>
          </cell>
          <cell r="F574" t="e">
            <v>#DIV/0!</v>
          </cell>
        </row>
        <row r="575">
          <cell r="A575" t="str">
            <v>Residential_Building Shell_Attic Kneewall Insulation #1 (Electric Heat)_Remaining Year kWh</v>
          </cell>
          <cell r="F575" t="e">
            <v>#DIV/0!</v>
          </cell>
        </row>
        <row r="576">
          <cell r="A576" t="str">
            <v>Residential_Building Shell_Attic Kneewall Insulation #1 (Electric Heat)_kWh Saved per Unit</v>
          </cell>
          <cell r="F576" t="e">
            <v>#DIV/0!</v>
          </cell>
        </row>
        <row r="577">
          <cell r="A577" t="str">
            <v>Residential_Building Shell_Attic Kneewall Insulation #1 (Electric Heat)_Remaining Year kW</v>
          </cell>
          <cell r="F577" t="e">
            <v>#DIV/0!</v>
          </cell>
        </row>
        <row r="578">
          <cell r="A578" t="str">
            <v>Residential_Building Shell_Attic Kneewall Insulation #1 (Electric Heat)_Coincident Peak kW Saved per Unit</v>
          </cell>
          <cell r="F578" t="e">
            <v>#DIV/0!</v>
          </cell>
        </row>
        <row r="579">
          <cell r="A579" t="str">
            <v>Residential_Building Shell_Attic Kneewall Insulation #1 (Electric Heat)_Remaining Year Therms</v>
          </cell>
          <cell r="F579" t="e">
            <v>#DIV/0!</v>
          </cell>
        </row>
        <row r="580">
          <cell r="A580" t="str">
            <v>Residential_Building Shell_Attic Kneewall Insulation #1 (Electric Heat)_Therms Saved per Unit</v>
          </cell>
          <cell r="F580" t="e">
            <v>#DIV/0!</v>
          </cell>
        </row>
        <row r="581">
          <cell r="A581" t="str">
            <v>Residential_Building Shell_Attic Kneewall Insulation #1 (Electric Heat)_Remaining Life</v>
          </cell>
          <cell r="F581">
            <v>10</v>
          </cell>
        </row>
        <row r="582">
          <cell r="A582" t="str">
            <v>Residential_Building Shell_Attic Kneewall Insulation #1 (Electric Heat)_Lifetime (years)</v>
          </cell>
          <cell r="F582">
            <v>30</v>
          </cell>
        </row>
        <row r="583">
          <cell r="A583" t="str">
            <v>Residential_Building Shell_Attic Kneewall Insulation #1 (Electric Heat)_Incremental Cost</v>
          </cell>
          <cell r="F583">
            <v>0</v>
          </cell>
        </row>
        <row r="584">
          <cell r="A584" t="str">
            <v>Residential_Building Shell_Attic Kneewall Insulation #1 (Electric Heat)_BTU Impact_Existing_Fossil Fuel</v>
          </cell>
          <cell r="F584">
            <v>0</v>
          </cell>
        </row>
        <row r="585">
          <cell r="A585" t="str">
            <v>Residential_Building Shell_Attic Kneewall Insulation #1 (Electric Heat)_BTU Impact_Existing_Winter Electricity</v>
          </cell>
          <cell r="F585">
            <v>0</v>
          </cell>
        </row>
        <row r="586">
          <cell r="A586" t="str">
            <v>Residential_Building Shell_Attic Kneewall Insulation #1 (Electric Heat)_BTU Impact_Existing_Summer Electricity</v>
          </cell>
          <cell r="F586">
            <v>0</v>
          </cell>
        </row>
        <row r="587">
          <cell r="A587" t="str">
            <v>Residential_Building Shell_Attic Kneewall Insulation #1 (Electric Heat)_BTU Impact_New_Fossil Fuel</v>
          </cell>
          <cell r="F587">
            <v>0</v>
          </cell>
        </row>
        <row r="588">
          <cell r="A588" t="str">
            <v>Residential_Building Shell_Attic Kneewall Insulation #1 (Electric Heat)_BTU Impact_New_Winter Electricity</v>
          </cell>
          <cell r="F588" t="e">
            <v>#DIV/0!</v>
          </cell>
        </row>
        <row r="589">
          <cell r="A589" t="str">
            <v>Residential_Building Shell_Attic Kneewall Insulation #1 (Electric Heat)_BTU Impact_New_Summer Electricity</v>
          </cell>
          <cell r="F589" t="e">
            <v>#DIV/0!</v>
          </cell>
        </row>
        <row r="590">
          <cell r="A590" t="str">
            <v>Residential_Building Shell_Attic Kneewall Insulation #1 (Electric Heat)_</v>
          </cell>
        </row>
        <row r="591">
          <cell r="A591" t="str">
            <v>Residential_Building Shell_Attic Kneewall Insulation #2 (Electric Heat)_R_old</v>
          </cell>
          <cell r="F591">
            <v>0</v>
          </cell>
        </row>
        <row r="592">
          <cell r="A592" t="str">
            <v>Residential_Building Shell_Attic Kneewall Insulation #2 (Electric Heat)_R_wall</v>
          </cell>
          <cell r="F592">
            <v>0</v>
          </cell>
        </row>
        <row r="593">
          <cell r="A593" t="str">
            <v>Residential_Building Shell_Attic Kneewall Insulation #2 (Electric Heat)_A_wall</v>
          </cell>
          <cell r="F593">
            <v>0</v>
          </cell>
        </row>
        <row r="594">
          <cell r="A594" t="str">
            <v>Residential_Building Shell_Attic Kneewall Insulation #2 (Electric Heat)_Framing_factor_wall</v>
          </cell>
          <cell r="F594">
            <v>0.25</v>
          </cell>
        </row>
        <row r="595">
          <cell r="A595" t="str">
            <v>Residential_Building Shell_Attic Kneewall Insulation #2 (Electric Heat)_24</v>
          </cell>
          <cell r="F595">
            <v>24</v>
          </cell>
        </row>
        <row r="596">
          <cell r="A596" t="str">
            <v>Residential_Building Shell_Attic Kneewall Insulation #2 (Electric Heat)_CDD</v>
          </cell>
          <cell r="F596" t="e">
            <v>#N/A</v>
          </cell>
        </row>
        <row r="597">
          <cell r="A597" t="str">
            <v>Residential_Building Shell_Attic Kneewall Insulation #2 (Electric Heat)_DUA</v>
          </cell>
          <cell r="F597">
            <v>0.75</v>
          </cell>
        </row>
        <row r="598">
          <cell r="A598" t="str">
            <v>Residential_Building Shell_Attic Kneewall Insulation #2 (Electric Heat)_1000</v>
          </cell>
          <cell r="F598">
            <v>1000</v>
          </cell>
        </row>
        <row r="599">
          <cell r="A599" t="str">
            <v>Residential_Building Shell_Attic Kneewall Insulation #2 (Electric Heat)_ηCool</v>
          </cell>
          <cell r="F599" t="e">
            <v>#REF!</v>
          </cell>
        </row>
        <row r="600">
          <cell r="A600" t="str">
            <v>Residential_Building Shell_Attic Kneewall Insulation #2 (Electric Heat)_ηCool_Mid-Life_Adj</v>
          </cell>
          <cell r="F600" t="e">
            <v>#REF!</v>
          </cell>
        </row>
        <row r="601">
          <cell r="A601" t="str">
            <v>Residential_Building Shell_Attic Kneewall Insulation #2 (Electric Heat)_ADJWallCool</v>
          </cell>
          <cell r="F601">
            <v>0.75</v>
          </cell>
        </row>
        <row r="602">
          <cell r="A602" t="str">
            <v>Residential_Building Shell_Attic Kneewall Insulation #2 (Electric Heat)_%Cool</v>
          </cell>
          <cell r="F602">
            <v>1</v>
          </cell>
        </row>
        <row r="603">
          <cell r="A603" t="str">
            <v>Residential_Building Shell_Attic Kneewall Insulation #2 (Electric Heat)_Delta_kWh_cooling</v>
          </cell>
          <cell r="F603" t="e">
            <v>#DIV/0!</v>
          </cell>
        </row>
        <row r="604">
          <cell r="A604" t="str">
            <v>Residential_Building Shell_Attic Kneewall Insulation #2 (Electric Heat)_Delta_kWh_cooling_Mid-Life_Adj</v>
          </cell>
          <cell r="F604" t="e">
            <v>#DIV/0!</v>
          </cell>
        </row>
        <row r="605">
          <cell r="A605" t="str">
            <v>Residential_Building Shell_Attic Kneewall Insulation #2 (Electric Heat)_R_old</v>
          </cell>
          <cell r="F605">
            <v>0</v>
          </cell>
        </row>
        <row r="606">
          <cell r="A606" t="str">
            <v>Residential_Building Shell_Attic Kneewall Insulation #2 (Electric Heat)_R_wall</v>
          </cell>
          <cell r="F606">
            <v>0</v>
          </cell>
        </row>
        <row r="607">
          <cell r="A607" t="str">
            <v>Residential_Building Shell_Attic Kneewall Insulation #2 (Electric Heat)_A_wall</v>
          </cell>
          <cell r="F607">
            <v>0</v>
          </cell>
        </row>
        <row r="608">
          <cell r="A608" t="str">
            <v>Residential_Building Shell_Attic Kneewall Insulation #2 (Electric Heat)_Framing_factor_wall</v>
          </cell>
          <cell r="F608">
            <v>0.25</v>
          </cell>
        </row>
        <row r="609">
          <cell r="A609" t="str">
            <v>Residential_Building Shell_Attic Kneewall Insulation #2 (Electric Heat)_24</v>
          </cell>
          <cell r="F609">
            <v>24</v>
          </cell>
        </row>
        <row r="610">
          <cell r="A610" t="str">
            <v>Residential_Building Shell_Attic Kneewall Insulation #2 (Electric Heat)_HDD</v>
          </cell>
          <cell r="F610" t="e">
            <v>#N/A</v>
          </cell>
        </row>
        <row r="611">
          <cell r="A611" t="str">
            <v>Residential_Building Shell_Attic Kneewall Insulation #2 (Electric Heat)_ηHeat</v>
          </cell>
          <cell r="F611" t="e">
            <v>#REF!</v>
          </cell>
        </row>
        <row r="612">
          <cell r="A612" t="str">
            <v>Residential_Building Shell_Attic Kneewall Insulation #2 (Electric Heat)_ηHeat_Mid-Life_Adj</v>
          </cell>
          <cell r="F612" t="e">
            <v>#REF!</v>
          </cell>
        </row>
        <row r="613">
          <cell r="A613" t="str">
            <v>Residential_Building Shell_Attic Kneewall Insulation #2 (Electric Heat)_3412</v>
          </cell>
          <cell r="F613">
            <v>3412</v>
          </cell>
        </row>
        <row r="614">
          <cell r="A614" t="str">
            <v>Residential_Building Shell_Attic Kneewall Insulation #2 (Electric Heat)_ADJWallHeat</v>
          </cell>
          <cell r="F614">
            <v>0.63</v>
          </cell>
        </row>
        <row r="615">
          <cell r="A615" t="str">
            <v>Residential_Building Shell_Attic Kneewall Insulation #2 (Electric Heat)_%ElectricHeat</v>
          </cell>
          <cell r="F615">
            <v>1</v>
          </cell>
        </row>
        <row r="616">
          <cell r="A616" t="str">
            <v>Residential_Building Shell_Attic Kneewall Insulation #2 (Electric Heat)_Delta_kWh_heatingElectric</v>
          </cell>
          <cell r="F616" t="e">
            <v>#DIV/0!</v>
          </cell>
        </row>
        <row r="617">
          <cell r="A617" t="str">
            <v>Residential_Building Shell_Attic Kneewall Insulation #2 (Electric Heat)_Delta_kWh_heatingElectric_Mid-Life_Adj</v>
          </cell>
          <cell r="F617" t="e">
            <v>#DIV/0!</v>
          </cell>
        </row>
        <row r="618">
          <cell r="A618" t="str">
            <v>Residential_Building Shell_Attic Kneewall Insulation #2 (Electric Heat)_Delta_Therms</v>
          </cell>
          <cell r="F618" t="e">
            <v>#DIV/0!</v>
          </cell>
        </row>
        <row r="619">
          <cell r="A619" t="str">
            <v>Residential_Building Shell_Attic Kneewall Insulation #2 (Electric Heat)_Delta_Therms_Mid-Life_Adj</v>
          </cell>
          <cell r="F619" t="e">
            <v>#DIV/0!</v>
          </cell>
        </row>
        <row r="620">
          <cell r="A620" t="str">
            <v>Residential_Building Shell_Attic Kneewall Insulation #2 (Electric Heat)_Fe</v>
          </cell>
          <cell r="F620">
            <v>3.1399999999999997E-2</v>
          </cell>
        </row>
        <row r="621">
          <cell r="A621" t="str">
            <v>Residential_Building Shell_Attic Kneewall Insulation #2 (Electric Heat)_29.3</v>
          </cell>
          <cell r="F621">
            <v>29.3</v>
          </cell>
        </row>
        <row r="622">
          <cell r="A622" t="str">
            <v>Residential_Building Shell_Attic Kneewall Insulation #2 (Electric Heat)_Delta_kWh_heatingGas</v>
          </cell>
          <cell r="F622" t="e">
            <v>#DIV/0!</v>
          </cell>
        </row>
        <row r="623">
          <cell r="A623" t="str">
            <v>Residential_Building Shell_Attic Kneewall Insulation #2 (Electric Heat)_Delta_kWh_heatingGas_Mid-Life_Adj</v>
          </cell>
          <cell r="F623" t="e">
            <v>#DIV/0!</v>
          </cell>
        </row>
        <row r="624">
          <cell r="A624" t="str">
            <v>Residential_Building Shell_Attic Kneewall Insulation #2 (Electric Heat)_FLH_cooling</v>
          </cell>
          <cell r="F624" t="e">
            <v>#N/A</v>
          </cell>
        </row>
        <row r="625">
          <cell r="A625" t="str">
            <v>Residential_Building Shell_Attic Kneewall Insulation #2 (Electric Heat)_CF</v>
          </cell>
          <cell r="F625">
            <v>0.68</v>
          </cell>
        </row>
        <row r="626">
          <cell r="A626" t="str">
            <v>Residential_Building Shell_Attic Kneewall Insulation #2 (Electric Heat)_Delta_kW</v>
          </cell>
          <cell r="F626" t="e">
            <v>#DIV/0!</v>
          </cell>
        </row>
        <row r="627">
          <cell r="A627" t="str">
            <v>Residential_Building Shell_Attic Kneewall Insulation #2 (Electric Heat)_Delta_kW_Mid-Life_Adj</v>
          </cell>
          <cell r="F627" t="e">
            <v>#DIV/0!</v>
          </cell>
        </row>
        <row r="628">
          <cell r="A628" t="str">
            <v>Residential_Building Shell_Attic Kneewall Insulation #2 (Electric Heat)_R_old</v>
          </cell>
          <cell r="F628">
            <v>0</v>
          </cell>
        </row>
        <row r="629">
          <cell r="A629" t="str">
            <v>Residential_Building Shell_Attic Kneewall Insulation #2 (Electric Heat)_R_wall</v>
          </cell>
          <cell r="F629">
            <v>0</v>
          </cell>
        </row>
        <row r="630">
          <cell r="A630" t="str">
            <v>Residential_Building Shell_Attic Kneewall Insulation #2 (Electric Heat)_A_wall</v>
          </cell>
          <cell r="F630">
            <v>0</v>
          </cell>
        </row>
        <row r="631">
          <cell r="A631" t="str">
            <v>Residential_Building Shell_Attic Kneewall Insulation #2 (Electric Heat)_Framing_factor_wall</v>
          </cell>
          <cell r="F631">
            <v>0.25</v>
          </cell>
        </row>
        <row r="632">
          <cell r="A632" t="str">
            <v>Residential_Building Shell_Attic Kneewall Insulation #2 (Electric Heat)_24</v>
          </cell>
          <cell r="F632">
            <v>24</v>
          </cell>
        </row>
        <row r="633">
          <cell r="A633" t="str">
            <v>Residential_Building Shell_Attic Kneewall Insulation #2 (Electric Heat)_HDD</v>
          </cell>
          <cell r="F633" t="e">
            <v>#N/A</v>
          </cell>
        </row>
        <row r="634">
          <cell r="A634" t="str">
            <v>Residential_Building Shell_Attic Kneewall Insulation #2 (Electric Heat)_ηHeat</v>
          </cell>
          <cell r="F634" t="e">
            <v>#REF!</v>
          </cell>
        </row>
        <row r="635">
          <cell r="A635" t="str">
            <v>Residential_Building Shell_Attic Kneewall Insulation #2 (Electric Heat)_ηHeat_Mid-Life_Adj</v>
          </cell>
          <cell r="F635" t="e">
            <v>#REF!</v>
          </cell>
        </row>
        <row r="636">
          <cell r="A636" t="str">
            <v>Residential_Building Shell_Attic Kneewall Insulation #2 (Electric Heat)_100000</v>
          </cell>
          <cell r="F636">
            <v>100000</v>
          </cell>
        </row>
        <row r="637">
          <cell r="A637" t="str">
            <v>Residential_Building Shell_Attic Kneewall Insulation #2 (Electric Heat)_ADJWallHeat</v>
          </cell>
          <cell r="F637">
            <v>0.63</v>
          </cell>
        </row>
        <row r="638">
          <cell r="A638" t="str">
            <v>Residential_Building Shell_Attic Kneewall Insulation #2 (Electric Heat)_%GasHeat</v>
          </cell>
          <cell r="F638">
            <v>0</v>
          </cell>
        </row>
        <row r="639">
          <cell r="A639" t="str">
            <v>Residential_Building Shell_Attic Kneewall Insulation #2 (Electric Heat)_Delta_Therms</v>
          </cell>
          <cell r="F639" t="e">
            <v>#DIV/0!</v>
          </cell>
        </row>
        <row r="640">
          <cell r="A640" t="str">
            <v>Residential_Building Shell_Attic Kneewall Insulation #2 (Electric Heat)_Delta_Therms_Mid-Life_Adj</v>
          </cell>
          <cell r="F640" t="e">
            <v>#DIV/0!</v>
          </cell>
        </row>
        <row r="641">
          <cell r="A641" t="str">
            <v>Residential_Building Shell_Attic Kneewall Insulation #2 (Electric Heat)_Remaining Year kWh</v>
          </cell>
          <cell r="F641" t="e">
            <v>#DIV/0!</v>
          </cell>
        </row>
        <row r="642">
          <cell r="A642" t="str">
            <v>Residential_Building Shell_Attic Kneewall Insulation #2 (Electric Heat)_kWh Saved per Unit</v>
          </cell>
          <cell r="F642" t="e">
            <v>#DIV/0!</v>
          </cell>
        </row>
        <row r="643">
          <cell r="A643" t="str">
            <v>Residential_Building Shell_Attic Kneewall Insulation #2 (Electric Heat)_Remaining Year kW</v>
          </cell>
          <cell r="F643" t="e">
            <v>#DIV/0!</v>
          </cell>
        </row>
        <row r="644">
          <cell r="A644" t="str">
            <v>Residential_Building Shell_Attic Kneewall Insulation #2 (Electric Heat)_Coincident Peak kW Saved per Unit</v>
          </cell>
          <cell r="F644" t="e">
            <v>#DIV/0!</v>
          </cell>
        </row>
        <row r="645">
          <cell r="A645" t="str">
            <v>Residential_Building Shell_Attic Kneewall Insulation #2 (Electric Heat)_Remaining Year Therms</v>
          </cell>
          <cell r="F645" t="e">
            <v>#DIV/0!</v>
          </cell>
        </row>
        <row r="646">
          <cell r="A646" t="str">
            <v>Residential_Building Shell_Attic Kneewall Insulation #2 (Electric Heat)_Therms Saved per Unit</v>
          </cell>
          <cell r="F646" t="e">
            <v>#DIV/0!</v>
          </cell>
        </row>
        <row r="647">
          <cell r="A647" t="str">
            <v>Residential_Building Shell_Attic Kneewall Insulation #2 (Electric Heat)_Remaining Life</v>
          </cell>
          <cell r="F647">
            <v>10</v>
          </cell>
        </row>
        <row r="648">
          <cell r="A648" t="str">
            <v>Residential_Building Shell_Attic Kneewall Insulation #2 (Electric Heat)_Lifetime (years)</v>
          </cell>
          <cell r="F648">
            <v>30</v>
          </cell>
        </row>
        <row r="649">
          <cell r="A649" t="str">
            <v>Residential_Building Shell_Attic Kneewall Insulation #2 (Electric Heat)_Incremental Cost</v>
          </cell>
          <cell r="F649">
            <v>0</v>
          </cell>
        </row>
        <row r="650">
          <cell r="A650" t="str">
            <v>Residential_Building Shell_Attic Kneewall Insulation #2 (Electric Heat)_BTU Impact_Existing_Fossil Fuel</v>
          </cell>
          <cell r="F650">
            <v>0</v>
          </cell>
        </row>
        <row r="651">
          <cell r="A651" t="str">
            <v>Residential_Building Shell_Attic Kneewall Insulation #2 (Electric Heat)_BTU Impact_Existing_Winter Electricity</v>
          </cell>
          <cell r="F651">
            <v>0</v>
          </cell>
        </row>
        <row r="652">
          <cell r="A652" t="str">
            <v>Residential_Building Shell_Attic Kneewall Insulation #2 (Electric Heat)_BTU Impact_Existing_Summer Electricity</v>
          </cell>
          <cell r="F652">
            <v>0</v>
          </cell>
        </row>
        <row r="653">
          <cell r="A653" t="str">
            <v>Residential_Building Shell_Attic Kneewall Insulation #2 (Electric Heat)_BTU Impact_New_Fossil Fuel</v>
          </cell>
          <cell r="F653">
            <v>0</v>
          </cell>
        </row>
        <row r="654">
          <cell r="A654" t="str">
            <v>Residential_Building Shell_Attic Kneewall Insulation #2 (Electric Heat)_BTU Impact_New_Winter Electricity</v>
          </cell>
          <cell r="F654" t="e">
            <v>#DIV/0!</v>
          </cell>
        </row>
        <row r="655">
          <cell r="A655" t="str">
            <v>Residential_Building Shell_Attic Kneewall Insulation #2 (Electric Heat)_BTU Impact_New_Summer Electricity</v>
          </cell>
          <cell r="F655" t="e">
            <v>#DIV/0!</v>
          </cell>
        </row>
        <row r="656">
          <cell r="A656" t="str">
            <v>Residential_Building Shell_Attic Kneewall Insulation #2 (Electric Heat)_</v>
          </cell>
        </row>
        <row r="657">
          <cell r="A657" t="str">
            <v>Residential_Building Shell_Wall Insulation (Electric Heat)_R_old</v>
          </cell>
          <cell r="F657">
            <v>1</v>
          </cell>
        </row>
        <row r="658">
          <cell r="A658" t="str">
            <v>Residential_Building Shell_Wall Insulation (Electric Heat)_R_wall</v>
          </cell>
          <cell r="F658">
            <v>0</v>
          </cell>
        </row>
        <row r="659">
          <cell r="A659" t="str">
            <v>Residential_Building Shell_Wall Insulation (Electric Heat)_A_wall</v>
          </cell>
          <cell r="F659">
            <v>0</v>
          </cell>
        </row>
        <row r="660">
          <cell r="A660" t="str">
            <v>Residential_Building Shell_Wall Insulation (Electric Heat)_Framing_factor_wall</v>
          </cell>
          <cell r="F660">
            <v>0.25</v>
          </cell>
        </row>
        <row r="661">
          <cell r="A661" t="str">
            <v>Residential_Building Shell_Wall Insulation (Electric Heat)_24</v>
          </cell>
          <cell r="F661">
            <v>24</v>
          </cell>
        </row>
        <row r="662">
          <cell r="A662" t="str">
            <v>Residential_Building Shell_Wall Insulation (Electric Heat)_CDD</v>
          </cell>
          <cell r="F662" t="e">
            <v>#N/A</v>
          </cell>
        </row>
        <row r="663">
          <cell r="A663" t="str">
            <v>Residential_Building Shell_Wall Insulation (Electric Heat)_DUA</v>
          </cell>
          <cell r="F663">
            <v>0.75</v>
          </cell>
        </row>
        <row r="664">
          <cell r="A664" t="str">
            <v>Residential_Building Shell_Wall Insulation (Electric Heat)_1000</v>
          </cell>
          <cell r="F664">
            <v>1000</v>
          </cell>
        </row>
        <row r="665">
          <cell r="A665" t="str">
            <v>Residential_Building Shell_Wall Insulation (Electric Heat)_ηCool</v>
          </cell>
          <cell r="F665" t="e">
            <v>#REF!</v>
          </cell>
        </row>
        <row r="666">
          <cell r="A666" t="str">
            <v>Residential_Building Shell_Wall Insulation (Electric Heat)_ηCool_Mid-Life_Adj</v>
          </cell>
          <cell r="F666" t="e">
            <v>#REF!</v>
          </cell>
        </row>
        <row r="667">
          <cell r="A667" t="str">
            <v>Residential_Building Shell_Wall Insulation (Electric Heat)_ADJWallCool</v>
          </cell>
          <cell r="F667">
            <v>0.75</v>
          </cell>
        </row>
        <row r="668">
          <cell r="A668" t="str">
            <v>Residential_Building Shell_Wall Insulation (Electric Heat)_%Cool</v>
          </cell>
          <cell r="F668">
            <v>1</v>
          </cell>
        </row>
        <row r="669">
          <cell r="A669" t="str">
            <v>Residential_Building Shell_Wall Insulation (Electric Heat)_Delta_kWh_cooling</v>
          </cell>
          <cell r="F669" t="e">
            <v>#DIV/0!</v>
          </cell>
        </row>
        <row r="670">
          <cell r="A670" t="str">
            <v>Residential_Building Shell_Wall Insulation (Electric Heat)_Delta_kWh_cooling_Mid-Life_Adj</v>
          </cell>
          <cell r="F670" t="e">
            <v>#DIV/0!</v>
          </cell>
        </row>
        <row r="671">
          <cell r="A671" t="str">
            <v>Residential_Building Shell_Wall Insulation (Electric Heat)_R_old</v>
          </cell>
          <cell r="F671">
            <v>1</v>
          </cell>
        </row>
        <row r="672">
          <cell r="A672" t="str">
            <v>Residential_Building Shell_Wall Insulation (Electric Heat)_R_wall</v>
          </cell>
          <cell r="F672">
            <v>0</v>
          </cell>
        </row>
        <row r="673">
          <cell r="A673" t="str">
            <v>Residential_Building Shell_Wall Insulation (Electric Heat)_A_wall</v>
          </cell>
          <cell r="F673">
            <v>0</v>
          </cell>
        </row>
        <row r="674">
          <cell r="A674" t="str">
            <v>Residential_Building Shell_Wall Insulation (Electric Heat)_Framing_factor_wall</v>
          </cell>
          <cell r="F674">
            <v>0.25</v>
          </cell>
        </row>
        <row r="675">
          <cell r="A675" t="str">
            <v>Residential_Building Shell_Wall Insulation (Electric Heat)_24</v>
          </cell>
          <cell r="F675">
            <v>24</v>
          </cell>
        </row>
        <row r="676">
          <cell r="A676" t="str">
            <v>Residential_Building Shell_Wall Insulation (Electric Heat)_HDD</v>
          </cell>
          <cell r="F676" t="e">
            <v>#N/A</v>
          </cell>
        </row>
        <row r="677">
          <cell r="A677" t="str">
            <v>Residential_Building Shell_Wall Insulation (Electric Heat)_ηHeat</v>
          </cell>
          <cell r="F677" t="e">
            <v>#REF!</v>
          </cell>
        </row>
        <row r="678">
          <cell r="A678" t="str">
            <v>Residential_Building Shell_Wall Insulation (Electric Heat)_ηHeat_Mid-Life_Adj</v>
          </cell>
          <cell r="F678" t="e">
            <v>#REF!</v>
          </cell>
        </row>
        <row r="679">
          <cell r="A679" t="str">
            <v>Residential_Building Shell_Wall Insulation (Electric Heat)_3412</v>
          </cell>
          <cell r="F679">
            <v>3412</v>
          </cell>
        </row>
        <row r="680">
          <cell r="A680" t="str">
            <v>Residential_Building Shell_Wall Insulation (Electric Heat)_ADJWallHeat</v>
          </cell>
          <cell r="F680">
            <v>0.63</v>
          </cell>
        </row>
        <row r="681">
          <cell r="A681" t="str">
            <v>Residential_Building Shell_Wall Insulation (Electric Heat)_%ElectricHeat</v>
          </cell>
          <cell r="F681">
            <v>1</v>
          </cell>
        </row>
        <row r="682">
          <cell r="A682" t="str">
            <v>Residential_Building Shell_Wall Insulation (Electric Heat)_Delta_kWh_heatingElectric</v>
          </cell>
          <cell r="F682" t="e">
            <v>#DIV/0!</v>
          </cell>
        </row>
        <row r="683">
          <cell r="A683" t="str">
            <v>Residential_Building Shell_Wall Insulation (Electric Heat)_Delta_kWh_heatingElectric_Mid-Life_Adj</v>
          </cell>
          <cell r="F683" t="e">
            <v>#DIV/0!</v>
          </cell>
        </row>
        <row r="684">
          <cell r="A684" t="str">
            <v>Residential_Building Shell_Wall Insulation (Electric Heat)_Delta_Therms</v>
          </cell>
          <cell r="F684" t="e">
            <v>#DIV/0!</v>
          </cell>
        </row>
        <row r="685">
          <cell r="A685" t="str">
            <v>Residential_Building Shell_Wall Insulation (Electric Heat)_Delta_Therms_Mid-Life_Adj</v>
          </cell>
          <cell r="F685" t="e">
            <v>#DIV/0!</v>
          </cell>
        </row>
        <row r="686">
          <cell r="A686" t="str">
            <v>Residential_Building Shell_Wall Insulation (Electric Heat)_Fe</v>
          </cell>
          <cell r="F686">
            <v>3.1399999999999997E-2</v>
          </cell>
        </row>
        <row r="687">
          <cell r="A687" t="str">
            <v>Residential_Building Shell_Wall Insulation (Electric Heat)_29.3</v>
          </cell>
          <cell r="F687">
            <v>29.3</v>
          </cell>
        </row>
        <row r="688">
          <cell r="A688" t="str">
            <v>Residential_Building Shell_Wall Insulation (Electric Heat)_Delta_kWh_heatingGas</v>
          </cell>
          <cell r="F688" t="e">
            <v>#DIV/0!</v>
          </cell>
        </row>
        <row r="689">
          <cell r="A689" t="str">
            <v>Residential_Building Shell_Wall Insulation (Electric Heat)_Delta_kWh_heatingGas_Mid-Life_Adj</v>
          </cell>
          <cell r="F689" t="e">
            <v>#DIV/0!</v>
          </cell>
        </row>
        <row r="690">
          <cell r="A690" t="str">
            <v>Residential_Building Shell_Wall Insulation (Electric Heat)_FLH_cooling</v>
          </cell>
          <cell r="F690" t="e">
            <v>#N/A</v>
          </cell>
        </row>
        <row r="691">
          <cell r="A691" t="str">
            <v>Residential_Building Shell_Wall Insulation (Electric Heat)_CF</v>
          </cell>
          <cell r="F691">
            <v>0.68</v>
          </cell>
        </row>
        <row r="692">
          <cell r="A692" t="str">
            <v>Residential_Building Shell_Wall Insulation (Electric Heat)_Delta_kW</v>
          </cell>
          <cell r="F692" t="e">
            <v>#DIV/0!</v>
          </cell>
        </row>
        <row r="693">
          <cell r="A693" t="str">
            <v>Residential_Building Shell_Wall Insulation (Electric Heat)_Delta_kW_Mid-Life_Adj</v>
          </cell>
          <cell r="F693" t="e">
            <v>#DIV/0!</v>
          </cell>
        </row>
        <row r="694">
          <cell r="A694" t="str">
            <v>Residential_Building Shell_Wall Insulation (Electric Heat)_R_old</v>
          </cell>
          <cell r="F694">
            <v>1</v>
          </cell>
        </row>
        <row r="695">
          <cell r="A695" t="str">
            <v>Residential_Building Shell_Wall Insulation (Electric Heat)_R_wall</v>
          </cell>
          <cell r="F695">
            <v>0</v>
          </cell>
        </row>
        <row r="696">
          <cell r="A696" t="str">
            <v>Residential_Building Shell_Wall Insulation (Electric Heat)_A_wall</v>
          </cell>
          <cell r="F696">
            <v>0</v>
          </cell>
        </row>
        <row r="697">
          <cell r="A697" t="str">
            <v>Residential_Building Shell_Wall Insulation (Electric Heat)_Framing_factor_wall</v>
          </cell>
          <cell r="F697">
            <v>0.25</v>
          </cell>
        </row>
        <row r="698">
          <cell r="A698" t="str">
            <v>Residential_Building Shell_Wall Insulation (Electric Heat)_24</v>
          </cell>
          <cell r="F698">
            <v>24</v>
          </cell>
        </row>
        <row r="699">
          <cell r="A699" t="str">
            <v>Residential_Building Shell_Wall Insulation (Electric Heat)_HDD</v>
          </cell>
          <cell r="F699" t="e">
            <v>#N/A</v>
          </cell>
        </row>
        <row r="700">
          <cell r="A700" t="str">
            <v>Residential_Building Shell_Wall Insulation (Electric Heat)_ηHeat</v>
          </cell>
          <cell r="F700" t="e">
            <v>#REF!</v>
          </cell>
        </row>
        <row r="701">
          <cell r="A701" t="str">
            <v>Residential_Building Shell_Wall Insulation (Electric Heat)_ηHeat_Mid-Life_Adj</v>
          </cell>
          <cell r="F701" t="e">
            <v>#REF!</v>
          </cell>
        </row>
        <row r="702">
          <cell r="A702" t="str">
            <v>Residential_Building Shell_Wall Insulation (Electric Heat)_100000</v>
          </cell>
          <cell r="F702">
            <v>100000</v>
          </cell>
        </row>
        <row r="703">
          <cell r="A703" t="str">
            <v>Residential_Building Shell_Wall Insulation (Electric Heat)_ADJWallHeat</v>
          </cell>
          <cell r="F703">
            <v>0.6</v>
          </cell>
        </row>
        <row r="704">
          <cell r="A704" t="str">
            <v>Residential_Building Shell_Wall Insulation (Electric Heat)_%GasHeat</v>
          </cell>
          <cell r="F704">
            <v>0</v>
          </cell>
        </row>
        <row r="705">
          <cell r="A705" t="str">
            <v>Residential_Building Shell_Wall Insulation (Electric Heat)_Delta_Therms</v>
          </cell>
          <cell r="F705" t="e">
            <v>#DIV/0!</v>
          </cell>
        </row>
        <row r="706">
          <cell r="A706" t="str">
            <v>Residential_Building Shell_Wall Insulation (Electric Heat)_Delta_Therms_Mid-Life_Adj</v>
          </cell>
          <cell r="F706" t="e">
            <v>#DIV/0!</v>
          </cell>
        </row>
        <row r="707">
          <cell r="A707" t="str">
            <v>Residential_Building Shell_Wall Insulation (Electric Heat)_Remaining Year kWh</v>
          </cell>
          <cell r="F707" t="e">
            <v>#DIV/0!</v>
          </cell>
        </row>
        <row r="708">
          <cell r="A708" t="str">
            <v>Residential_Building Shell_Wall Insulation (Electric Heat)_kWh Saved per Unit</v>
          </cell>
          <cell r="F708" t="e">
            <v>#DIV/0!</v>
          </cell>
        </row>
        <row r="709">
          <cell r="A709" t="str">
            <v>Residential_Building Shell_Wall Insulation (Electric Heat)_Remaining Year kW</v>
          </cell>
          <cell r="F709" t="e">
            <v>#DIV/0!</v>
          </cell>
        </row>
        <row r="710">
          <cell r="A710" t="str">
            <v>Residential_Building Shell_Wall Insulation (Electric Heat)_Coincident Peak kW Saved per Unit</v>
          </cell>
          <cell r="F710" t="e">
            <v>#DIV/0!</v>
          </cell>
        </row>
        <row r="711">
          <cell r="A711" t="str">
            <v>Residential_Building Shell_Wall Insulation (Electric Heat)_Remaining Year Therms</v>
          </cell>
          <cell r="F711" t="e">
            <v>#DIV/0!</v>
          </cell>
        </row>
        <row r="712">
          <cell r="A712" t="str">
            <v>Residential_Building Shell_Wall Insulation (Electric Heat)_Therms Saved per Unit</v>
          </cell>
          <cell r="F712" t="e">
            <v>#DIV/0!</v>
          </cell>
        </row>
        <row r="713">
          <cell r="A713" t="str">
            <v>Residential_Building Shell_Wall Insulation (Electric Heat)_Remaining Life</v>
          </cell>
          <cell r="F713">
            <v>10</v>
          </cell>
        </row>
        <row r="714">
          <cell r="A714" t="str">
            <v>Residential_Building Shell_Wall Insulation (Electric Heat)_Lifetime (years)</v>
          </cell>
          <cell r="F714">
            <v>30</v>
          </cell>
        </row>
        <row r="715">
          <cell r="A715" t="str">
            <v>Residential_Building Shell_Wall Insulation (Electric Heat)_Incremental Cost</v>
          </cell>
          <cell r="F715">
            <v>0</v>
          </cell>
        </row>
        <row r="716">
          <cell r="A716" t="str">
            <v>Residential_Building Shell_Wall Insulation (Electric Heat)_BTU Impact_Existing_Fossil Fuel</v>
          </cell>
          <cell r="F716">
            <v>0</v>
          </cell>
        </row>
        <row r="717">
          <cell r="A717" t="str">
            <v>Residential_Building Shell_Wall Insulation (Electric Heat)_BTU Impact_Existing_Winter Electricity</v>
          </cell>
          <cell r="F717">
            <v>0</v>
          </cell>
        </row>
        <row r="718">
          <cell r="A718" t="str">
            <v>Residential_Building Shell_Wall Insulation (Electric Heat)_BTU Impact_Existing_Summer Electricity</v>
          </cell>
          <cell r="F718">
            <v>0</v>
          </cell>
        </row>
        <row r="719">
          <cell r="A719" t="str">
            <v>Residential_Building Shell_Wall Insulation (Electric Heat)_BTU Impact_New_Fossil Fuel</v>
          </cell>
          <cell r="F719">
            <v>0</v>
          </cell>
        </row>
        <row r="720">
          <cell r="A720" t="str">
            <v>Residential_Building Shell_Wall Insulation (Electric Heat)_BTU Impact_New_Winter Electricity</v>
          </cell>
          <cell r="F720" t="e">
            <v>#DIV/0!</v>
          </cell>
        </row>
        <row r="721">
          <cell r="A721" t="str">
            <v>Residential_Building Shell_Wall Insulation (Electric Heat)_BTU Impact_New_Summer Electricity</v>
          </cell>
          <cell r="F721" t="e">
            <v>#DIV/0!</v>
          </cell>
        </row>
        <row r="722">
          <cell r="A722" t="str">
            <v>Residential_Building Shell_Wall Insulation (Electric Heat)_</v>
          </cell>
        </row>
        <row r="723">
          <cell r="A723" t="str">
            <v>Residential_Building Shell_Rim/Band Joist Insulation (Electric Heat)_R_old</v>
          </cell>
          <cell r="F723">
            <v>1</v>
          </cell>
        </row>
        <row r="724">
          <cell r="A724" t="str">
            <v>Residential_Building Shell_Rim/Band Joist Insulation (Electric Heat)_R_rim</v>
          </cell>
          <cell r="F724">
            <v>0</v>
          </cell>
        </row>
        <row r="725">
          <cell r="A725" t="str">
            <v>Residential_Building Shell_Rim/Band Joist Insulation (Electric Heat)_A_rim</v>
          </cell>
          <cell r="F725">
            <v>0</v>
          </cell>
        </row>
        <row r="726">
          <cell r="A726" t="str">
            <v>Residential_Building Shell_Rim/Band Joist Insulation (Electric Heat)_Framing_factor_rim</v>
          </cell>
          <cell r="F726">
            <v>0.05</v>
          </cell>
        </row>
        <row r="727">
          <cell r="A727" t="str">
            <v>Residential_Building Shell_Rim/Band Joist Insulation (Electric Heat)_CDD</v>
          </cell>
          <cell r="F727" t="e">
            <v>#N/A</v>
          </cell>
        </row>
        <row r="728">
          <cell r="A728" t="str">
            <v>Residential_Building Shell_Rim/Band Joist Insulation (Electric Heat)_24</v>
          </cell>
          <cell r="F728">
            <v>24</v>
          </cell>
        </row>
        <row r="729">
          <cell r="A729" t="str">
            <v>Residential_Building Shell_Rim/Band Joist Insulation (Electric Heat)_DUA</v>
          </cell>
          <cell r="F729">
            <v>0.75</v>
          </cell>
        </row>
        <row r="730">
          <cell r="A730" t="str">
            <v>Residential_Building Shell_Rim/Band Joist Insulation (Electric Heat)_ADJBasementCool</v>
          </cell>
          <cell r="F730">
            <v>0.75</v>
          </cell>
        </row>
        <row r="731">
          <cell r="A731" t="str">
            <v>Residential_Building Shell_Rim/Band Joist Insulation (Electric Heat)_%Cool</v>
          </cell>
          <cell r="F731">
            <v>1</v>
          </cell>
        </row>
        <row r="732">
          <cell r="A732" t="str">
            <v>Residential_Building Shell_Rim/Band Joist Insulation (Electric Heat)_1000</v>
          </cell>
          <cell r="F732">
            <v>1000</v>
          </cell>
        </row>
        <row r="733">
          <cell r="A733" t="str">
            <v>Residential_Building Shell_Rim/Band Joist Insulation (Electric Heat)_ηCool</v>
          </cell>
          <cell r="F733" t="e">
            <v>#REF!</v>
          </cell>
        </row>
        <row r="734">
          <cell r="A734" t="str">
            <v>Residential_Building Shell_Rim/Band Joist Insulation (Electric Heat)_ηCool_Mid-Life_Adj</v>
          </cell>
          <cell r="F734" t="e">
            <v>#REF!</v>
          </cell>
        </row>
        <row r="735">
          <cell r="A735" t="str">
            <v>Residential_Building Shell_Rim/Band Joist Insulation (Electric Heat)_Delta_kWh_cooling</v>
          </cell>
          <cell r="F735" t="e">
            <v>#DIV/0!</v>
          </cell>
        </row>
        <row r="736">
          <cell r="A736" t="str">
            <v>Residential_Building Shell_Rim/Band Joist Insulation (Electric Heat)_Delta_kWh_cooling_Mid-Life_Adj</v>
          </cell>
          <cell r="F736" t="e">
            <v>#DIV/0!</v>
          </cell>
        </row>
        <row r="737">
          <cell r="A737" t="str">
            <v>Residential_Building Shell_Rim/Band Joist Insulation (Electric Heat)_R_old</v>
          </cell>
          <cell r="F737">
            <v>1</v>
          </cell>
        </row>
        <row r="738">
          <cell r="A738" t="str">
            <v>Residential_Building Shell_Rim/Band Joist Insulation (Electric Heat)_R_rim</v>
          </cell>
          <cell r="F738">
            <v>0</v>
          </cell>
        </row>
        <row r="739">
          <cell r="A739" t="str">
            <v>Residential_Building Shell_Rim/Band Joist Insulation (Electric Heat)_A_rim</v>
          </cell>
          <cell r="F739">
            <v>0</v>
          </cell>
        </row>
        <row r="740">
          <cell r="A740" t="str">
            <v>Residential_Building Shell_Rim/Band Joist Insulation (Electric Heat)_Framing_factor_rim</v>
          </cell>
          <cell r="F740">
            <v>0.05</v>
          </cell>
        </row>
        <row r="741">
          <cell r="A741" t="str">
            <v>Residential_Building Shell_Rim/Band Joist Insulation (Electric Heat)_HDD</v>
          </cell>
          <cell r="F741" t="e">
            <v>#N/A</v>
          </cell>
        </row>
        <row r="742">
          <cell r="A742" t="str">
            <v>Residential_Building Shell_Rim/Band Joist Insulation (Electric Heat)_24</v>
          </cell>
          <cell r="F742">
            <v>24</v>
          </cell>
        </row>
        <row r="743">
          <cell r="A743" t="str">
            <v>Residential_Building Shell_Rim/Band Joist Insulation (Electric Heat)_ADJBasementHeat</v>
          </cell>
          <cell r="F743">
            <v>0.63</v>
          </cell>
        </row>
        <row r="744">
          <cell r="A744" t="str">
            <v>Residential_Building Shell_Rim/Band Joist Insulation (Electric Heat)_%ElectricHeat</v>
          </cell>
          <cell r="F744">
            <v>1</v>
          </cell>
        </row>
        <row r="745">
          <cell r="A745" t="str">
            <v>Residential_Building Shell_Rim/Band Joist Insulation (Electric Heat)_ηHeat</v>
          </cell>
          <cell r="F745" t="e">
            <v>#REF!</v>
          </cell>
        </row>
        <row r="746">
          <cell r="A746" t="str">
            <v>Residential_Building Shell_Rim/Band Joist Insulation (Electric Heat)_ηHeat_Mid-Life_Adj</v>
          </cell>
          <cell r="F746" t="e">
            <v>#REF!</v>
          </cell>
        </row>
        <row r="747">
          <cell r="A747" t="str">
            <v>Residential_Building Shell_Rim/Band Joist Insulation (Electric Heat)_3412</v>
          </cell>
          <cell r="F747">
            <v>3412</v>
          </cell>
        </row>
        <row r="748">
          <cell r="A748" t="str">
            <v>Residential_Building Shell_Rim/Band Joist Insulation (Electric Heat)_Delta_kWh_heatingElectric</v>
          </cell>
          <cell r="F748" t="e">
            <v>#DIV/0!</v>
          </cell>
        </row>
        <row r="749">
          <cell r="A749" t="str">
            <v>Residential_Building Shell_Rim/Band Joist Insulation (Electric Heat)_Delta_kWh_heatingElectric_Mid-Life_Adj</v>
          </cell>
          <cell r="F749" t="e">
            <v>#DIV/0!</v>
          </cell>
        </row>
        <row r="750">
          <cell r="A750" t="str">
            <v>Residential_Building Shell_Rim/Band Joist Insulation (Electric Heat)_Delta_Therms</v>
          </cell>
          <cell r="F750" t="e">
            <v>#DIV/0!</v>
          </cell>
        </row>
        <row r="751">
          <cell r="A751" t="str">
            <v>Residential_Building Shell_Rim/Band Joist Insulation (Electric Heat)_Delta_Therms_Mid-Life_Adj</v>
          </cell>
          <cell r="F751" t="e">
            <v>#DIV/0!</v>
          </cell>
        </row>
        <row r="752">
          <cell r="A752" t="str">
            <v>Residential_Building Shell_Rim/Band Joist Insulation (Electric Heat)_Fe</v>
          </cell>
          <cell r="F752">
            <v>3.1399999999999997E-2</v>
          </cell>
        </row>
        <row r="753">
          <cell r="A753" t="str">
            <v>Residential_Building Shell_Rim/Band Joist Insulation (Electric Heat)_29.3</v>
          </cell>
          <cell r="F753">
            <v>29.3</v>
          </cell>
        </row>
        <row r="754">
          <cell r="A754" t="str">
            <v>Residential_Building Shell_Rim/Band Joist Insulation (Electric Heat)_Delta_kWh_heatingGas</v>
          </cell>
          <cell r="F754" t="e">
            <v>#DIV/0!</v>
          </cell>
        </row>
        <row r="755">
          <cell r="A755" t="str">
            <v>Residential_Building Shell_Rim/Band Joist Insulation (Electric Heat)_Delta_kWh_heatingGas_Mid-Life_Adj</v>
          </cell>
          <cell r="F755" t="e">
            <v>#DIV/0!</v>
          </cell>
        </row>
        <row r="756">
          <cell r="A756" t="str">
            <v>Residential_Building Shell_Rim/Band Joist Insulation (Electric Heat)_FLH_cooling</v>
          </cell>
          <cell r="F756" t="e">
            <v>#N/A</v>
          </cell>
        </row>
        <row r="757">
          <cell r="A757" t="str">
            <v>Residential_Building Shell_Rim/Band Joist Insulation (Electric Heat)_CF</v>
          </cell>
          <cell r="F757">
            <v>0.68</v>
          </cell>
        </row>
        <row r="758">
          <cell r="A758" t="str">
            <v>Residential_Building Shell_Rim/Band Joist Insulation (Electric Heat)_Delta_kW</v>
          </cell>
          <cell r="F758" t="e">
            <v>#DIV/0!</v>
          </cell>
        </row>
        <row r="759">
          <cell r="A759" t="str">
            <v>Residential_Building Shell_Rim/Band Joist Insulation (Electric Heat)_Delta_kW_Mid-Life_Adj</v>
          </cell>
          <cell r="F759" t="e">
            <v>#DIV/0!</v>
          </cell>
        </row>
        <row r="760">
          <cell r="A760" t="str">
            <v>Residential_Building Shell_Rim/Band Joist Insulation (Electric Heat)_R_old</v>
          </cell>
          <cell r="F760">
            <v>1</v>
          </cell>
        </row>
        <row r="761">
          <cell r="A761" t="str">
            <v>Residential_Building Shell_Rim/Band Joist Insulation (Electric Heat)_R_rim</v>
          </cell>
          <cell r="F761">
            <v>0</v>
          </cell>
        </row>
        <row r="762">
          <cell r="A762" t="str">
            <v>Residential_Building Shell_Rim/Band Joist Insulation (Electric Heat)_A_rim</v>
          </cell>
          <cell r="F762">
            <v>0</v>
          </cell>
        </row>
        <row r="763">
          <cell r="A763" t="str">
            <v>Residential_Building Shell_Rim/Band Joist Insulation (Electric Heat)_Framing_factor_rim</v>
          </cell>
          <cell r="F763">
            <v>0.05</v>
          </cell>
        </row>
        <row r="764">
          <cell r="A764" t="str">
            <v>Residential_Building Shell_Rim/Band Joist Insulation (Electric Heat)_HDD</v>
          </cell>
          <cell r="F764" t="e">
            <v>#N/A</v>
          </cell>
        </row>
        <row r="765">
          <cell r="A765" t="str">
            <v>Residential_Building Shell_Rim/Band Joist Insulation (Electric Heat)_24</v>
          </cell>
          <cell r="F765">
            <v>24</v>
          </cell>
        </row>
        <row r="766">
          <cell r="A766" t="str">
            <v>Residential_Building Shell_Rim/Band Joist Insulation (Electric Heat)_ADJBasementHeat</v>
          </cell>
          <cell r="F766">
            <v>0.6</v>
          </cell>
        </row>
        <row r="767">
          <cell r="A767" t="str">
            <v>Residential_Building Shell_Rim/Band Joist Insulation (Electric Heat)_%GasHeat</v>
          </cell>
          <cell r="F767">
            <v>0</v>
          </cell>
        </row>
        <row r="768">
          <cell r="A768" t="str">
            <v>Residential_Building Shell_Rim/Band Joist Insulation (Electric Heat)_ηHeat</v>
          </cell>
          <cell r="F768" t="e">
            <v>#REF!</v>
          </cell>
        </row>
        <row r="769">
          <cell r="A769" t="str">
            <v>Residential_Building Shell_Rim/Band Joist Insulation (Electric Heat)_ηHeat_Mid-Life_Adj</v>
          </cell>
          <cell r="F769" t="e">
            <v>#REF!</v>
          </cell>
        </row>
        <row r="770">
          <cell r="A770" t="str">
            <v>Residential_Building Shell_Rim/Band Joist Insulation (Electric Heat)_100000</v>
          </cell>
          <cell r="F770">
            <v>100000</v>
          </cell>
        </row>
        <row r="771">
          <cell r="A771" t="str">
            <v>Residential_Building Shell_Rim/Band Joist Insulation (Electric Heat)_Delta_Therms</v>
          </cell>
          <cell r="F771" t="e">
            <v>#DIV/0!</v>
          </cell>
        </row>
        <row r="772">
          <cell r="A772" t="str">
            <v>Residential_Building Shell_Rim/Band Joist Insulation (Electric Heat)_Delta_Therms_Mid-Life_Adj</v>
          </cell>
          <cell r="F772" t="e">
            <v>#DIV/0!</v>
          </cell>
        </row>
        <row r="773">
          <cell r="A773" t="str">
            <v>Residential_Building Shell_Rim/Band Joist Insulation (Electric Heat)_Remaining Year kWh</v>
          </cell>
          <cell r="F773" t="e">
            <v>#DIV/0!</v>
          </cell>
        </row>
        <row r="774">
          <cell r="A774" t="str">
            <v>Residential_Building Shell_Rim/Band Joist Insulation (Electric Heat)_kWh Saved per Unit</v>
          </cell>
          <cell r="F774" t="e">
            <v>#DIV/0!</v>
          </cell>
        </row>
        <row r="775">
          <cell r="A775" t="str">
            <v>Residential_Building Shell_Rim/Band Joist Insulation (Electric Heat)_Remaining Year kW</v>
          </cell>
          <cell r="F775" t="e">
            <v>#DIV/0!</v>
          </cell>
        </row>
        <row r="776">
          <cell r="A776" t="str">
            <v>Residential_Building Shell_Rim/Band Joist Insulation (Electric Heat)_Coincident Peak kW Saved per Unit</v>
          </cell>
          <cell r="F776" t="e">
            <v>#DIV/0!</v>
          </cell>
        </row>
        <row r="777">
          <cell r="A777" t="str">
            <v>Residential_Building Shell_Rim/Band Joist Insulation (Electric Heat)_Remaining Year Therms</v>
          </cell>
          <cell r="F777" t="e">
            <v>#DIV/0!</v>
          </cell>
        </row>
        <row r="778">
          <cell r="A778" t="str">
            <v>Residential_Building Shell_Rim/Band Joist Insulation (Electric Heat)_Therms Saved per Unit</v>
          </cell>
          <cell r="F778" t="e">
            <v>#DIV/0!</v>
          </cell>
        </row>
        <row r="779">
          <cell r="A779" t="str">
            <v>Residential_Building Shell_Rim/Band Joist Insulation (Electric Heat)_Remaining Life</v>
          </cell>
          <cell r="F779">
            <v>10</v>
          </cell>
        </row>
        <row r="780">
          <cell r="A780" t="str">
            <v>Residential_Building Shell_Rim/Band Joist Insulation (Electric Heat)_Lifetime (years)</v>
          </cell>
          <cell r="F780">
            <v>30</v>
          </cell>
        </row>
        <row r="781">
          <cell r="A781" t="str">
            <v>Residential_Building Shell_Rim/Band Joist Insulation (Electric Heat)_Incremental Cost</v>
          </cell>
          <cell r="F781">
            <v>0</v>
          </cell>
        </row>
        <row r="782">
          <cell r="A782" t="str">
            <v>Residential_Building Shell_Rim/Band Joist Insulation (Electric Heat)_BTU Impact_Existing_Fossil Fuel</v>
          </cell>
          <cell r="F782">
            <v>0</v>
          </cell>
        </row>
        <row r="783">
          <cell r="A783" t="str">
            <v>Residential_Building Shell_Rim/Band Joist Insulation (Electric Heat)_BTU Impact_Existing_Winter Electricity</v>
          </cell>
          <cell r="F783">
            <v>0</v>
          </cell>
        </row>
        <row r="784">
          <cell r="A784" t="str">
            <v>Residential_Building Shell_Rim/Band Joist Insulation (Electric Heat)_BTU Impact_Existing_Summer Electricity</v>
          </cell>
          <cell r="F784">
            <v>0</v>
          </cell>
        </row>
        <row r="785">
          <cell r="A785" t="str">
            <v>Residential_Building Shell_Rim/Band Joist Insulation (Electric Heat)_BTU Impact_New_Fossil Fuel</v>
          </cell>
          <cell r="F785">
            <v>0</v>
          </cell>
        </row>
        <row r="786">
          <cell r="A786" t="str">
            <v>Residential_Building Shell_Rim/Band Joist Insulation (Electric Heat)_BTU Impact_New_Winter Electricity</v>
          </cell>
          <cell r="F786" t="e">
            <v>#DIV/0!</v>
          </cell>
        </row>
        <row r="787">
          <cell r="A787" t="str">
            <v>Residential_Building Shell_Rim/Band Joist Insulation (Electric Heat)_BTU Impact_New_Summer Electricity</v>
          </cell>
          <cell r="F787" t="e">
            <v>#DIV/0!</v>
          </cell>
        </row>
        <row r="788">
          <cell r="A788" t="str">
            <v>Residential_Building Shell_Rim/Band Joist Insulation (Electric Heat)_</v>
          </cell>
        </row>
        <row r="789">
          <cell r="A789" t="str">
            <v>Residential_Building Shell_Basement Sidewall Insulation (Electric Heat)_R_old_AG</v>
          </cell>
          <cell r="F789">
            <v>1</v>
          </cell>
        </row>
        <row r="790">
          <cell r="A790" t="str">
            <v>Residential_Building Shell_Basement Sidewall Insulation (Electric Heat)_R_added</v>
          </cell>
          <cell r="F790">
            <v>0</v>
          </cell>
        </row>
        <row r="791">
          <cell r="A791" t="str">
            <v>Residential_Building Shell_Basement Sidewall Insulation (Electric Heat)_R_old_AG</v>
          </cell>
          <cell r="F791">
            <v>1</v>
          </cell>
        </row>
        <row r="792">
          <cell r="A792" t="str">
            <v>Residential_Building Shell_Basement Sidewall Insulation (Electric Heat)_L_basement_wall_total</v>
          </cell>
          <cell r="F792">
            <v>0</v>
          </cell>
        </row>
        <row r="793">
          <cell r="A793" t="str">
            <v>Residential_Building Shell_Basement Sidewall Insulation (Electric Heat)_H_basement_wall_AG</v>
          </cell>
          <cell r="F793">
            <v>1</v>
          </cell>
        </row>
        <row r="794">
          <cell r="A794" t="str">
            <v>Residential_Building Shell_Basement Sidewall Insulation (Electric Heat)_Framing_factor</v>
          </cell>
          <cell r="F794">
            <v>0.25</v>
          </cell>
        </row>
        <row r="795">
          <cell r="A795" t="str">
            <v>Residential_Building Shell_Basement Sidewall Insulation (Electric Heat)_24</v>
          </cell>
          <cell r="F795">
            <v>24</v>
          </cell>
        </row>
        <row r="796">
          <cell r="A796" t="str">
            <v>Residential_Building Shell_Basement Sidewall Insulation (Electric Heat)_CDD</v>
          </cell>
          <cell r="F796" t="e">
            <v>#N/A</v>
          </cell>
        </row>
        <row r="797">
          <cell r="A797" t="str">
            <v>Residential_Building Shell_Basement Sidewall Insulation (Electric Heat)_DUA</v>
          </cell>
          <cell r="F797">
            <v>0.75</v>
          </cell>
        </row>
        <row r="798">
          <cell r="A798" t="str">
            <v>Residential_Building Shell_Basement Sidewall Insulation (Electric Heat)_1000</v>
          </cell>
          <cell r="F798">
            <v>1000</v>
          </cell>
        </row>
        <row r="799">
          <cell r="A799" t="str">
            <v>Residential_Building Shell_Basement Sidewall Insulation (Electric Heat)_ηCool</v>
          </cell>
          <cell r="F799" t="e">
            <v>#REF!</v>
          </cell>
        </row>
        <row r="800">
          <cell r="A800" t="str">
            <v>Residential_Building Shell_Basement Sidewall Insulation (Electric Heat)_ηCool_Mid-Life_Adj</v>
          </cell>
          <cell r="F800" t="e">
            <v>#REF!</v>
          </cell>
        </row>
        <row r="801">
          <cell r="A801" t="str">
            <v>Residential_Building Shell_Basement Sidewall Insulation (Electric Heat)_ADJBasementCool</v>
          </cell>
          <cell r="F801">
            <v>0.75</v>
          </cell>
        </row>
        <row r="802">
          <cell r="A802" t="str">
            <v>Residential_Building Shell_Basement Sidewall Insulation (Electric Heat)_%Cool</v>
          </cell>
          <cell r="F802">
            <v>1</v>
          </cell>
        </row>
        <row r="803">
          <cell r="A803" t="str">
            <v>Residential_Building Shell_Basement Sidewall Insulation (Electric Heat)_Delta_kWh_cooling</v>
          </cell>
          <cell r="F803" t="e">
            <v>#N/A</v>
          </cell>
        </row>
        <row r="804">
          <cell r="A804" t="str">
            <v>Residential_Building Shell_Basement Sidewall Insulation (Electric Heat)_Delta_kWh_cooling_Mid-Life_Adj</v>
          </cell>
          <cell r="F804" t="e">
            <v>#N/A</v>
          </cell>
        </row>
        <row r="805">
          <cell r="A805" t="str">
            <v>Residential_Building Shell_Basement Sidewall Insulation (Electric Heat)_R_old_AG</v>
          </cell>
          <cell r="F805">
            <v>1</v>
          </cell>
        </row>
        <row r="806">
          <cell r="A806" t="str">
            <v>Residential_Building Shell_Basement Sidewall Insulation (Electric Heat)_R_added</v>
          </cell>
          <cell r="F806">
            <v>0</v>
          </cell>
        </row>
        <row r="807">
          <cell r="A807" t="str">
            <v>Residential_Building Shell_Basement Sidewall Insulation (Electric Heat)_R_old_AG</v>
          </cell>
          <cell r="F807">
            <v>1</v>
          </cell>
        </row>
        <row r="808">
          <cell r="A808" t="str">
            <v>Residential_Building Shell_Basement Sidewall Insulation (Electric Heat)_L_basement_wall_total</v>
          </cell>
          <cell r="F808">
            <v>0</v>
          </cell>
        </row>
        <row r="809">
          <cell r="A809" t="str">
            <v>Residential_Building Shell_Basement Sidewall Insulation (Electric Heat)_H_basement_wall_AG</v>
          </cell>
          <cell r="F809">
            <v>1</v>
          </cell>
        </row>
        <row r="810">
          <cell r="A810" t="str">
            <v>Residential_Building Shell_Basement Sidewall Insulation (Electric Heat)_Framing_factor</v>
          </cell>
          <cell r="F810">
            <v>0.25</v>
          </cell>
        </row>
        <row r="811">
          <cell r="A811" t="str">
            <v>Residential_Building Shell_Basement Sidewall Insulation (Electric Heat)_R_old_BG</v>
          </cell>
          <cell r="F811">
            <v>7.42</v>
          </cell>
        </row>
        <row r="812">
          <cell r="A812" t="str">
            <v>Residential_Building Shell_Basement Sidewall Insulation (Electric Heat)_R_added</v>
          </cell>
          <cell r="F812">
            <v>0</v>
          </cell>
        </row>
        <row r="813">
          <cell r="A813" t="str">
            <v>Residential_Building Shell_Basement Sidewall Insulation (Electric Heat)_R_old_BG</v>
          </cell>
          <cell r="F813">
            <v>7.42</v>
          </cell>
        </row>
        <row r="814">
          <cell r="A814" t="str">
            <v>Residential_Building Shell_Basement Sidewall Insulation (Electric Heat)_L_basement_wall_total</v>
          </cell>
          <cell r="F814">
            <v>0</v>
          </cell>
        </row>
        <row r="815">
          <cell r="A815" t="str">
            <v>Residential_Building Shell_Basement Sidewall Insulation (Electric Heat)_H_basement_wall_total</v>
          </cell>
          <cell r="F815">
            <v>3</v>
          </cell>
        </row>
        <row r="816">
          <cell r="A816" t="str">
            <v>Residential_Building Shell_Basement Sidewall Insulation (Electric Heat)_H_basement_wall_AG</v>
          </cell>
          <cell r="F816">
            <v>1</v>
          </cell>
        </row>
        <row r="817">
          <cell r="A817" t="str">
            <v>Residential_Building Shell_Basement Sidewall Insulation (Electric Heat)_Framing_factor</v>
          </cell>
          <cell r="F817">
            <v>0.25</v>
          </cell>
        </row>
        <row r="818">
          <cell r="A818" t="str">
            <v>Residential_Building Shell_Basement Sidewall Insulation (Electric Heat)_24</v>
          </cell>
          <cell r="F818">
            <v>24</v>
          </cell>
        </row>
        <row r="819">
          <cell r="A819" t="str">
            <v>Residential_Building Shell_Basement Sidewall Insulation (Electric Heat)_HDD</v>
          </cell>
          <cell r="F819" t="e">
            <v>#N/A</v>
          </cell>
        </row>
        <row r="820">
          <cell r="A820" t="str">
            <v>Residential_Building Shell_Basement Sidewall Insulation (Electric Heat)_3412</v>
          </cell>
          <cell r="F820">
            <v>3412</v>
          </cell>
        </row>
        <row r="821">
          <cell r="A821" t="str">
            <v>Residential_Building Shell_Basement Sidewall Insulation (Electric Heat)_ηHeat</v>
          </cell>
          <cell r="F821" t="e">
            <v>#REF!</v>
          </cell>
        </row>
        <row r="822">
          <cell r="A822" t="str">
            <v>Residential_Building Shell_Basement Sidewall Insulation (Electric Heat)_ηHeat_Mid-Life_Adj</v>
          </cell>
          <cell r="F822" t="e">
            <v>#REF!</v>
          </cell>
        </row>
        <row r="823">
          <cell r="A823" t="str">
            <v>Residential_Building Shell_Basement Sidewall Insulation (Electric Heat)_ADJBasementHeat</v>
          </cell>
          <cell r="F823">
            <v>0.6</v>
          </cell>
        </row>
        <row r="824">
          <cell r="A824" t="str">
            <v>Residential_Building Shell_Basement Sidewall Insulation (Electric Heat)_%ElectricHeat</v>
          </cell>
          <cell r="F824">
            <v>1</v>
          </cell>
        </row>
        <row r="825">
          <cell r="A825" t="str">
            <v>Residential_Building Shell_Basement Sidewall Insulation (Electric Heat)_Delta_kWh_heatingElectric</v>
          </cell>
          <cell r="F825" t="e">
            <v>#N/A</v>
          </cell>
        </row>
        <row r="826">
          <cell r="A826" t="str">
            <v>Residential_Building Shell_Basement Sidewall Insulation (Electric Heat)_Delta_kWh_heatingElectric_Mid-Life_Adj</v>
          </cell>
          <cell r="F826" t="e">
            <v>#N/A</v>
          </cell>
        </row>
        <row r="827">
          <cell r="A827" t="str">
            <v>Residential_Building Shell_Basement Sidewall Insulation (Electric Heat)_Delta_Therms</v>
          </cell>
          <cell r="F827" t="e">
            <v>#N/A</v>
          </cell>
        </row>
        <row r="828">
          <cell r="A828" t="str">
            <v>Residential_Building Shell_Basement Sidewall Insulation (Electric Heat)_Delta_Therms_Mid-Life_Adj</v>
          </cell>
          <cell r="F828" t="e">
            <v>#N/A</v>
          </cell>
        </row>
        <row r="829">
          <cell r="A829" t="str">
            <v>Residential_Building Shell_Basement Sidewall Insulation (Electric Heat)_Fe</v>
          </cell>
          <cell r="F829">
            <v>3.1399999999999997E-2</v>
          </cell>
        </row>
        <row r="830">
          <cell r="A830" t="str">
            <v>Residential_Building Shell_Basement Sidewall Insulation (Electric Heat)_29.3</v>
          </cell>
          <cell r="F830">
            <v>29.3</v>
          </cell>
        </row>
        <row r="831">
          <cell r="A831" t="str">
            <v>Residential_Building Shell_Basement Sidewall Insulation (Electric Heat)_Delta_kWh_heatingGas</v>
          </cell>
          <cell r="F831" t="e">
            <v>#N/A</v>
          </cell>
        </row>
        <row r="832">
          <cell r="A832" t="str">
            <v>Residential_Building Shell_Basement Sidewall Insulation (Electric Heat)_Delta_kWh_heatingGas_Mid-Life_Adj</v>
          </cell>
          <cell r="F832" t="e">
            <v>#N/A</v>
          </cell>
        </row>
        <row r="833">
          <cell r="A833" t="str">
            <v>Residential_Building Shell_Basement Sidewall Insulation (Electric Heat)_FLH_cooling</v>
          </cell>
          <cell r="F833" t="e">
            <v>#N/A</v>
          </cell>
        </row>
        <row r="834">
          <cell r="A834" t="str">
            <v>Residential_Building Shell_Basement Sidewall Insulation (Electric Heat)_CF</v>
          </cell>
          <cell r="F834">
            <v>0.68</v>
          </cell>
        </row>
        <row r="835">
          <cell r="A835" t="str">
            <v>Residential_Building Shell_Basement Sidewall Insulation (Electric Heat)_Delta_kW</v>
          </cell>
          <cell r="F835" t="e">
            <v>#N/A</v>
          </cell>
        </row>
        <row r="836">
          <cell r="A836" t="str">
            <v>Residential_Building Shell_Basement Sidewall Insulation (Electric Heat)_Delta_kW_Mid-Life_Adj</v>
          </cell>
          <cell r="F836" t="e">
            <v>#N/A</v>
          </cell>
        </row>
        <row r="837">
          <cell r="A837" t="str">
            <v>Residential_Building Shell_Basement Sidewall Insulation (Electric Heat)_R_old_AG</v>
          </cell>
          <cell r="F837">
            <v>1</v>
          </cell>
        </row>
        <row r="838">
          <cell r="A838" t="str">
            <v>Residential_Building Shell_Basement Sidewall Insulation (Electric Heat)_R_added</v>
          </cell>
          <cell r="F838">
            <v>0</v>
          </cell>
        </row>
        <row r="839">
          <cell r="A839" t="str">
            <v>Residential_Building Shell_Basement Sidewall Insulation (Electric Heat)_R_old_AG</v>
          </cell>
          <cell r="F839">
            <v>1</v>
          </cell>
        </row>
        <row r="840">
          <cell r="A840" t="str">
            <v>Residential_Building Shell_Basement Sidewall Insulation (Electric Heat)_L_basement_wall_total</v>
          </cell>
          <cell r="F840">
            <v>0</v>
          </cell>
        </row>
        <row r="841">
          <cell r="A841" t="str">
            <v>Residential_Building Shell_Basement Sidewall Insulation (Electric Heat)_H_basement_wall_AG</v>
          </cell>
          <cell r="F841">
            <v>1</v>
          </cell>
        </row>
        <row r="842">
          <cell r="A842" t="str">
            <v>Residential_Building Shell_Basement Sidewall Insulation (Electric Heat)_Framing_factor</v>
          </cell>
          <cell r="F842">
            <v>0.25</v>
          </cell>
        </row>
        <row r="843">
          <cell r="A843" t="str">
            <v>Residential_Building Shell_Basement Sidewall Insulation (Electric Heat)_R_old_BG</v>
          </cell>
          <cell r="F843">
            <v>7.42</v>
          </cell>
        </row>
        <row r="844">
          <cell r="A844" t="str">
            <v>Residential_Building Shell_Basement Sidewall Insulation (Electric Heat)_R_added</v>
          </cell>
          <cell r="F844">
            <v>0</v>
          </cell>
        </row>
        <row r="845">
          <cell r="A845" t="str">
            <v>Residential_Building Shell_Basement Sidewall Insulation (Electric Heat)_R_old_BG</v>
          </cell>
          <cell r="F845">
            <v>7.42</v>
          </cell>
        </row>
        <row r="846">
          <cell r="A846" t="str">
            <v>Residential_Building Shell_Basement Sidewall Insulation (Electric Heat)_L_basement_wall_total</v>
          </cell>
          <cell r="F846">
            <v>0</v>
          </cell>
        </row>
        <row r="847">
          <cell r="A847" t="str">
            <v>Residential_Building Shell_Basement Sidewall Insulation (Electric Heat)_H_basement_wall_total</v>
          </cell>
          <cell r="F847">
            <v>3</v>
          </cell>
        </row>
        <row r="848">
          <cell r="A848" t="str">
            <v>Residential_Building Shell_Basement Sidewall Insulation (Electric Heat)_H_basement_wall_AG</v>
          </cell>
          <cell r="F848">
            <v>1</v>
          </cell>
        </row>
        <row r="849">
          <cell r="A849" t="str">
            <v>Residential_Building Shell_Basement Sidewall Insulation (Electric Heat)_Framing_factor</v>
          </cell>
          <cell r="F849">
            <v>0.25</v>
          </cell>
        </row>
        <row r="850">
          <cell r="A850" t="str">
            <v>Residential_Building Shell_Basement Sidewall Insulation (Electric Heat)_24</v>
          </cell>
          <cell r="F850">
            <v>24</v>
          </cell>
        </row>
        <row r="851">
          <cell r="A851" t="str">
            <v>Residential_Building Shell_Basement Sidewall Insulation (Electric Heat)_HDD</v>
          </cell>
          <cell r="F851" t="e">
            <v>#N/A</v>
          </cell>
        </row>
        <row r="852">
          <cell r="A852" t="str">
            <v>Residential_Building Shell_Basement Sidewall Insulation (Electric Heat)_ηHeat</v>
          </cell>
          <cell r="F852" t="e">
            <v>#REF!</v>
          </cell>
        </row>
        <row r="853">
          <cell r="A853" t="str">
            <v>Residential_Building Shell_Basement Sidewall Insulation (Electric Heat)_ηHeat_Mid-Life_Adj</v>
          </cell>
          <cell r="F853" t="e">
            <v>#REF!</v>
          </cell>
        </row>
        <row r="854">
          <cell r="A854" t="str">
            <v>Residential_Building Shell_Basement Sidewall Insulation (Electric Heat)_100000</v>
          </cell>
          <cell r="F854">
            <v>100000</v>
          </cell>
        </row>
        <row r="855">
          <cell r="A855" t="str">
            <v>Residential_Building Shell_Basement Sidewall Insulation (Electric Heat)_ADJBasementHeat</v>
          </cell>
          <cell r="F855">
            <v>0.63</v>
          </cell>
        </row>
        <row r="856">
          <cell r="A856" t="str">
            <v>Residential_Building Shell_Basement Sidewall Insulation (Electric Heat)_%GasHeat</v>
          </cell>
          <cell r="F856">
            <v>0</v>
          </cell>
        </row>
        <row r="857">
          <cell r="A857" t="str">
            <v>Residential_Building Shell_Basement Sidewall Insulation (Electric Heat)_Delta_Therms</v>
          </cell>
          <cell r="F857" t="e">
            <v>#N/A</v>
          </cell>
        </row>
        <row r="858">
          <cell r="A858" t="str">
            <v>Residential_Building Shell_Basement Sidewall Insulation (Electric Heat)_Delta_Therms_Mid-Life_Adj</v>
          </cell>
          <cell r="F858" t="e">
            <v>#N/A</v>
          </cell>
        </row>
        <row r="859">
          <cell r="A859" t="str">
            <v>Residential_Building Shell_Basement Sidewall Insulation (Electric Heat)_Remaining Year kWh</v>
          </cell>
          <cell r="F859" t="e">
            <v>#N/A</v>
          </cell>
        </row>
        <row r="860">
          <cell r="A860" t="str">
            <v>Residential_Building Shell_Basement Sidewall Insulation (Electric Heat)_kWh Saved per Unit</v>
          </cell>
          <cell r="F860" t="e">
            <v>#N/A</v>
          </cell>
        </row>
        <row r="861">
          <cell r="A861" t="str">
            <v>Residential_Building Shell_Basement Sidewall Insulation (Electric Heat)_Remaining Year kW</v>
          </cell>
          <cell r="F861" t="e">
            <v>#N/A</v>
          </cell>
        </row>
        <row r="862">
          <cell r="A862" t="str">
            <v>Residential_Building Shell_Basement Sidewall Insulation (Electric Heat)_Coincident Peak kW Saved per Unit</v>
          </cell>
          <cell r="F862" t="e">
            <v>#N/A</v>
          </cell>
        </row>
        <row r="863">
          <cell r="A863" t="str">
            <v>Residential_Building Shell_Basement Sidewall Insulation (Electric Heat)_Remaining Year Therms</v>
          </cell>
          <cell r="F863" t="e">
            <v>#N/A</v>
          </cell>
        </row>
        <row r="864">
          <cell r="A864" t="str">
            <v>Residential_Building Shell_Basement Sidewall Insulation (Electric Heat)_Therms Saved per Unit</v>
          </cell>
          <cell r="F864" t="e">
            <v>#N/A</v>
          </cell>
        </row>
        <row r="865">
          <cell r="A865" t="str">
            <v>Residential_Building Shell_Basement Sidewall Insulation (Electric Heat)_Remaining Life</v>
          </cell>
          <cell r="F865">
            <v>10</v>
          </cell>
        </row>
        <row r="866">
          <cell r="A866" t="str">
            <v>Residential_Building Shell_Basement Sidewall Insulation (Electric Heat)_Lifetime (years)</v>
          </cell>
          <cell r="F866">
            <v>30</v>
          </cell>
        </row>
        <row r="867">
          <cell r="A867" t="str">
            <v>Residential_Building Shell_Basement Sidewall Insulation (Electric Heat)_Incremental Cost</v>
          </cell>
          <cell r="F867">
            <v>0</v>
          </cell>
        </row>
        <row r="868">
          <cell r="A868" t="str">
            <v>Residential_Building Shell_Basement Sidewall Insulation (Electric Heat)_BTU Impact_Existing_Fossil Fuel</v>
          </cell>
          <cell r="F868">
            <v>0</v>
          </cell>
        </row>
        <row r="869">
          <cell r="A869" t="str">
            <v>Residential_Building Shell_Basement Sidewall Insulation (Electric Heat)_BTU Impact_Existing_Winter Electricity</v>
          </cell>
          <cell r="F869">
            <v>0</v>
          </cell>
        </row>
        <row r="870">
          <cell r="A870" t="str">
            <v>Residential_Building Shell_Basement Sidewall Insulation (Electric Heat)_BTU Impact_Existing_Summer Electricity</v>
          </cell>
          <cell r="F870">
            <v>0</v>
          </cell>
        </row>
        <row r="871">
          <cell r="A871" t="str">
            <v>Residential_Building Shell_Basement Sidewall Insulation (Electric Heat)_BTU Impact_New_Fossil Fuel</v>
          </cell>
          <cell r="F871">
            <v>0</v>
          </cell>
        </row>
        <row r="872">
          <cell r="A872" t="str">
            <v>Residential_Building Shell_Basement Sidewall Insulation (Electric Heat)_BTU Impact_New_Winter Electricity</v>
          </cell>
          <cell r="F872" t="e">
            <v>#N/A</v>
          </cell>
        </row>
        <row r="873">
          <cell r="A873" t="str">
            <v>Residential_Building Shell_Basement Sidewall Insulation (Electric Heat)_BTU Impact_New_Summer Electricity</v>
          </cell>
          <cell r="F873" t="e">
            <v>#N/A</v>
          </cell>
        </row>
        <row r="874">
          <cell r="A874" t="str">
            <v>Residential_Building Shell_Basement Sidewall Insulation (Electric Heat)_</v>
          </cell>
        </row>
        <row r="875">
          <cell r="A875" t="str">
            <v>Residential_HVAC_Furnace_EFLH</v>
          </cell>
          <cell r="F875" t="e">
            <v>#N/A</v>
          </cell>
        </row>
        <row r="876">
          <cell r="A876" t="str">
            <v>Residential_HVAC_Gas High Efficiency Furnace_CAPInput</v>
          </cell>
          <cell r="F876" t="e">
            <v>#REF!</v>
          </cell>
        </row>
        <row r="877">
          <cell r="A877" t="str">
            <v>Residential_HVAC_Gas High Efficiency Furnace_Derating(base)</v>
          </cell>
          <cell r="F877">
            <v>6.4000000000000001E-2</v>
          </cell>
        </row>
        <row r="878">
          <cell r="A878" t="str">
            <v>Residential_HVAC_Gas High Efficiency Furnace_AFUE(base)</v>
          </cell>
          <cell r="F878" t="e">
            <v>#REF!</v>
          </cell>
        </row>
        <row r="879">
          <cell r="A879" t="str">
            <v>Residential_HVAC_Gas High Efficiency Furnace_100000</v>
          </cell>
          <cell r="F879">
            <v>100000</v>
          </cell>
        </row>
        <row r="880">
          <cell r="A880" t="str">
            <v>Residential_HVAC_Gas High Efficiency Furnace_EFLH</v>
          </cell>
          <cell r="F880" t="e">
            <v>#N/A</v>
          </cell>
        </row>
        <row r="881">
          <cell r="A881" t="str">
            <v>Residential_HVAC_Gas High Efficiency Furnace_CAPInput</v>
          </cell>
          <cell r="F881" t="e">
            <v>#REF!</v>
          </cell>
        </row>
        <row r="882">
          <cell r="A882" t="str">
            <v>Residential_HVAC_Gas High Efficiency Furnace_Derating(eff)</v>
          </cell>
          <cell r="F882">
            <v>6.4000000000000001E-2</v>
          </cell>
        </row>
        <row r="883">
          <cell r="A883" t="str">
            <v>Residential_HVAC_Gas High Efficiency Furnace_AFUE(eff)</v>
          </cell>
          <cell r="F883">
            <v>0</v>
          </cell>
        </row>
        <row r="884">
          <cell r="A884" t="str">
            <v>Residential_HVAC_Gas High Efficiency Furnace_100000</v>
          </cell>
          <cell r="F884">
            <v>100000</v>
          </cell>
        </row>
        <row r="885">
          <cell r="A885" t="str">
            <v>Residential_HVAC_Gas High Efficiency Furnace_Lifetime (years)</v>
          </cell>
          <cell r="F885">
            <v>20</v>
          </cell>
        </row>
        <row r="886">
          <cell r="A886" t="str">
            <v>Residential_HVAC_Gas High Efficiency Furnace_Incremental Cost</v>
          </cell>
          <cell r="F886">
            <v>3449</v>
          </cell>
        </row>
        <row r="887">
          <cell r="A887" t="str">
            <v>Residential_HVAC_Gas High Efficiency Furnace_BTU Impact_Existing_Fossil Fuel</v>
          </cell>
          <cell r="F887" t="e">
            <v>#N/A</v>
          </cell>
        </row>
        <row r="888">
          <cell r="A888" t="str">
            <v>Residential_HVAC_Gas High Efficiency Furnace_BTU Impact_Existing_Winter Electricity</v>
          </cell>
          <cell r="F888">
            <v>0</v>
          </cell>
        </row>
        <row r="889">
          <cell r="A889" t="str">
            <v>Residential_HVAC_Gas High Efficiency Furnace_BTU Impact_Existing_Summer Electricity</v>
          </cell>
          <cell r="F889">
            <v>0</v>
          </cell>
        </row>
        <row r="890">
          <cell r="A890" t="str">
            <v>Residential_HVAC_Gas High Efficiency Furnace_BTU Impact_New_Fossil Fuel</v>
          </cell>
          <cell r="F890" t="e">
            <v>#N/A</v>
          </cell>
        </row>
        <row r="891">
          <cell r="A891" t="str">
            <v>Residential_HVAC_Gas High Efficiency Furnace_BTU Impact_New_Winter Electricity</v>
          </cell>
          <cell r="F891">
            <v>0</v>
          </cell>
        </row>
        <row r="892">
          <cell r="A892" t="str">
            <v>Residential_HVAC_Gas High Efficiency Furnace_BTU Impact_New_Summer Electricity</v>
          </cell>
          <cell r="F892">
            <v>0</v>
          </cell>
        </row>
        <row r="893">
          <cell r="A893" t="str">
            <v>Residential_HVAC_Gas High Efficiency Furnace_</v>
          </cell>
        </row>
        <row r="894">
          <cell r="A894" t="str">
            <v>Residential_HVAC_Boiler_EFLH</v>
          </cell>
          <cell r="F894" t="e">
            <v>#N/A</v>
          </cell>
        </row>
        <row r="895">
          <cell r="A895" t="str">
            <v>Residential_HVAC_Gas High Efficiency Boiler_CAPInput</v>
          </cell>
          <cell r="F895" t="e">
            <v>#REF!</v>
          </cell>
        </row>
        <row r="896">
          <cell r="A896" t="str">
            <v>Residential_HVAC_Gas High Efficiency Boiler_AFUEBase</v>
          </cell>
          <cell r="F896" t="e">
            <v>#REF!</v>
          </cell>
        </row>
        <row r="897">
          <cell r="A897" t="str">
            <v>Residential_HVAC_Gas High Efficiency Boiler_100000</v>
          </cell>
          <cell r="F897">
            <v>100000</v>
          </cell>
        </row>
        <row r="898">
          <cell r="A898" t="str">
            <v>Residential_HVAC_Gas High Efficiency Boiler_EFLH</v>
          </cell>
          <cell r="F898" t="e">
            <v>#N/A</v>
          </cell>
        </row>
        <row r="899">
          <cell r="A899" t="str">
            <v>Residential_HVAC_Gas High Efficiency Boiler_CAPInput</v>
          </cell>
          <cell r="F899" t="e">
            <v>#REF!</v>
          </cell>
        </row>
        <row r="900">
          <cell r="A900" t="str">
            <v>Residential_HVAC_Gas High Efficiency Boiler_AFUEEff</v>
          </cell>
          <cell r="F900">
            <v>0</v>
          </cell>
        </row>
        <row r="901">
          <cell r="A901" t="str">
            <v>Residential_HVAC_Gas High Efficiency Boiler_100000</v>
          </cell>
          <cell r="F901">
            <v>100000</v>
          </cell>
        </row>
        <row r="902">
          <cell r="A902" t="str">
            <v>Residential_HVAC_Gas High Efficiency Boiler_Lifetime (years)</v>
          </cell>
          <cell r="F902">
            <v>25</v>
          </cell>
        </row>
        <row r="903">
          <cell r="A903" t="str">
            <v>Residential_HVAC_Gas High Efficiency Boiler_Incremental Cost</v>
          </cell>
          <cell r="F903">
            <v>6188</v>
          </cell>
        </row>
        <row r="904">
          <cell r="A904" t="str">
            <v>Residential_HVAC_Gas High Efficiency Boiler_BTU Impact_Existing_Fossil Fuel</v>
          </cell>
          <cell r="F904" t="e">
            <v>#N/A</v>
          </cell>
        </row>
        <row r="905">
          <cell r="A905" t="str">
            <v>Residential_HVAC_Gas High Efficiency Boiler_BTU Impact_Existing_Winter Electricity</v>
          </cell>
          <cell r="F905">
            <v>0</v>
          </cell>
        </row>
        <row r="906">
          <cell r="A906" t="str">
            <v>Residential_HVAC_Gas High Efficiency Boiler_BTU Impact_Existing_Summer Electricity</v>
          </cell>
          <cell r="F906">
            <v>0</v>
          </cell>
        </row>
        <row r="907">
          <cell r="A907" t="str">
            <v>Residential_HVAC_Gas High Efficiency Boiler_BTU Impact_New_Fossil Fuel</v>
          </cell>
          <cell r="F907" t="e">
            <v>#N/A</v>
          </cell>
        </row>
        <row r="908">
          <cell r="A908" t="str">
            <v>Residential_HVAC_Gas High Efficiency Boiler_BTU Impact_New_Winter Electricity</v>
          </cell>
          <cell r="F908">
            <v>0</v>
          </cell>
        </row>
        <row r="909">
          <cell r="A909" t="str">
            <v>Residential_HVAC_Gas High Efficiency Boiler_BTU Impact_New_Summer Electricity</v>
          </cell>
          <cell r="F909">
            <v>0</v>
          </cell>
        </row>
        <row r="910">
          <cell r="A910" t="str">
            <v>Residential_HVAC_Gas High Efficiency Boiler_</v>
          </cell>
        </row>
      </sheetData>
      <sheetData sheetId="6" refreshError="1"/>
      <sheetData sheetId="7">
        <row r="7">
          <cell r="B7" t="str">
            <v>Air-Source Heat Pump</v>
          </cell>
          <cell r="C7" t="str">
            <v>Ductless Heat Pump</v>
          </cell>
          <cell r="D7" t="str">
            <v>Ground Source Heat Pump</v>
          </cell>
          <cell r="E7" t="str">
            <v>n/a</v>
          </cell>
          <cell r="F7" t="str">
            <v>Heat Pump Water Heater</v>
          </cell>
          <cell r="G7" t="str">
            <v>Heat Pump Clothes Dryer</v>
          </cell>
          <cell r="H7" t="str">
            <v>Electric Range</v>
          </cell>
          <cell r="I7" t="str">
            <v>Weatherization</v>
          </cell>
        </row>
        <row r="11">
          <cell r="B11" t="str">
            <v>Furnace</v>
          </cell>
          <cell r="C11" t="str">
            <v>Boiler</v>
          </cell>
          <cell r="D11" t="str">
            <v>Furnace</v>
          </cell>
          <cell r="E11" t="str">
            <v>n/a</v>
          </cell>
          <cell r="F11" t="str">
            <v>FF Water Heater</v>
          </cell>
          <cell r="G11" t="str">
            <v>FF Dryer</v>
          </cell>
          <cell r="H11" t="str">
            <v>FF Range</v>
          </cell>
          <cell r="I11" t="str">
            <v>Attic Kneewall Insulation #1 (Electric Heat)</v>
          </cell>
        </row>
        <row r="15">
          <cell r="A15" t="str">
            <v>Propane</v>
          </cell>
          <cell r="C15">
            <v>91452</v>
          </cell>
          <cell r="D15">
            <v>1.3862999999999999E-4</v>
          </cell>
        </row>
        <row r="16">
          <cell r="A16" t="str">
            <v>Natural Gas</v>
          </cell>
          <cell r="C16">
            <v>1000000</v>
          </cell>
          <cell r="D16">
            <v>1.1665E-4</v>
          </cell>
        </row>
        <row r="17">
          <cell r="A17" t="str">
            <v>Fuel Oil</v>
          </cell>
          <cell r="C17">
            <v>138500</v>
          </cell>
          <cell r="D17">
            <v>1.6344999999999999E-4</v>
          </cell>
        </row>
        <row r="18">
          <cell r="A18" t="str">
            <v>Electricity</v>
          </cell>
          <cell r="C18">
            <v>3412</v>
          </cell>
          <cell r="D18">
            <v>4.1970915951283159E-4</v>
          </cell>
        </row>
      </sheetData>
      <sheetData sheetId="8" refreshError="1"/>
      <sheetData sheetId="9" refreshError="1"/>
      <sheetData sheetId="10">
        <row r="1">
          <cell r="A1" t="str">
            <v>Key</v>
          </cell>
          <cell r="G1" t="str">
            <v>Value</v>
          </cell>
        </row>
        <row r="2">
          <cell r="A2" t="str">
            <v>Residential_HVAC_Air-Source Heat Pump_FLH_ASHPheat_1 (Rockford)</v>
          </cell>
          <cell r="G2">
            <v>1924</v>
          </cell>
        </row>
        <row r="3">
          <cell r="A3" t="str">
            <v>Residential_HVAC_Air-Source Heat Pump_FLH_ASHPheat_2 (Chicago)</v>
          </cell>
          <cell r="G3">
            <v>1726</v>
          </cell>
        </row>
        <row r="4">
          <cell r="A4" t="str">
            <v>Residential_HVAC_Air-Source Heat Pump_FLH_ASHPheat_3 (Springfield)</v>
          </cell>
          <cell r="G4">
            <v>1708</v>
          </cell>
        </row>
        <row r="5">
          <cell r="A5" t="str">
            <v>Residential_HVAC_Air-Source Heat Pump_FLH_ASHPheat_4 (Belleville)</v>
          </cell>
          <cell r="G5">
            <v>1195</v>
          </cell>
        </row>
        <row r="6">
          <cell r="A6" t="str">
            <v>Residential_HVAC_Air-Source Heat Pump_FLH_ASHPheat_5 (Marion)</v>
          </cell>
          <cell r="G6">
            <v>1270</v>
          </cell>
        </row>
        <row r="7">
          <cell r="A7" t="str">
            <v>Residential_HVAC_Air-Source Heat Pump_FLH_ASHPheat_Weighted Average</v>
          </cell>
          <cell r="G7">
            <v>1547</v>
          </cell>
        </row>
        <row r="8">
          <cell r="A8" t="str">
            <v>Residential_HVAC_Air-Source Heat Pump_FLHcool_1 (Rockford)</v>
          </cell>
          <cell r="G8">
            <v>547</v>
          </cell>
        </row>
        <row r="9">
          <cell r="A9" t="str">
            <v>Residential_HVAC_Air-Source Heat Pump_FLHcool_2 (Chicago)</v>
          </cell>
          <cell r="G9">
            <v>709</v>
          </cell>
        </row>
        <row r="10">
          <cell r="A10" t="str">
            <v>Residential_HVAC_Air-Source Heat Pump_FLHcool_3 (Springfield)</v>
          </cell>
          <cell r="G10">
            <v>779</v>
          </cell>
        </row>
        <row r="11">
          <cell r="A11" t="str">
            <v>Residential_HVAC_Air-Source Heat Pump_FLHcool_4 (Belleville)</v>
          </cell>
          <cell r="G11">
            <v>1082</v>
          </cell>
        </row>
        <row r="12">
          <cell r="A12" t="str">
            <v>Residential_HVAC_Air-Source Heat Pump_FLHcool_5 (Marion)</v>
          </cell>
          <cell r="G12">
            <v>956</v>
          </cell>
        </row>
        <row r="13">
          <cell r="A13" t="str">
            <v>Residential_HVAC_Air-Source Heat Pump_FLHcool_Weighted Average</v>
          </cell>
          <cell r="G13">
            <v>875</v>
          </cell>
        </row>
        <row r="14">
          <cell r="A14" t="str">
            <v>Residential_HVAC_Air-Source Heat Pump_Heat Load Factor_1 (Rockford)</v>
          </cell>
          <cell r="G14">
            <v>0.42</v>
          </cell>
        </row>
        <row r="15">
          <cell r="A15" t="str">
            <v>Residential_HVAC_Air-Source Heat Pump_Heat Load Factor_2 (Chicago)</v>
          </cell>
          <cell r="G15">
            <v>0.48</v>
          </cell>
        </row>
        <row r="16">
          <cell r="A16" t="str">
            <v>Residential_HVAC_Air-Source Heat Pump_Heat Load Factor_3 (Springfield)</v>
          </cell>
          <cell r="G16">
            <v>0.56999999999999995</v>
          </cell>
        </row>
        <row r="17">
          <cell r="A17" t="str">
            <v>Residential_HVAC_Air-Source Heat Pump_Heat Load Factor_4 (Belleville)</v>
          </cell>
          <cell r="G17">
            <v>0.61</v>
          </cell>
        </row>
        <row r="18">
          <cell r="A18" t="str">
            <v>Residential_HVAC_Air-Source Heat Pump_Heat Load Factor_5 (Marion)</v>
          </cell>
          <cell r="G18">
            <v>0.72</v>
          </cell>
        </row>
        <row r="19">
          <cell r="A19" t="str">
            <v>Residential_HVAC_Air-Source Heat Pump_Heat Load Factor_Weighted Average</v>
          </cell>
          <cell r="G19">
            <v>0.56999999999999995</v>
          </cell>
        </row>
        <row r="20">
          <cell r="A20" t="str">
            <v>Residential_HVAC_Ductless Heat Pump_Heat Load Factor_1 (Rockford)</v>
          </cell>
          <cell r="G20">
            <v>0.42</v>
          </cell>
        </row>
        <row r="21">
          <cell r="A21" t="str">
            <v>Residential_HVAC_Ductless Heat Pump_Heat Load Factor_2 (Chicago)</v>
          </cell>
          <cell r="G21">
            <v>0.48</v>
          </cell>
        </row>
        <row r="22">
          <cell r="A22" t="str">
            <v>Residential_HVAC_Ductless Heat Pump_Heat Load Factor_3 (Springfield)</v>
          </cell>
          <cell r="G22">
            <v>0.56999999999999995</v>
          </cell>
        </row>
        <row r="23">
          <cell r="A23" t="str">
            <v>Residential_HVAC_Ductless Heat Pump_Heat Load Factor_4 (Belleville)</v>
          </cell>
          <cell r="G23">
            <v>0.61</v>
          </cell>
        </row>
        <row r="24">
          <cell r="A24" t="str">
            <v>Residential_HVAC_Ductless Heat Pump_Heat Load Factor_5 (Marion)</v>
          </cell>
          <cell r="G24">
            <v>0.72</v>
          </cell>
        </row>
        <row r="25">
          <cell r="A25" t="str">
            <v>Residential_HVAC_Ductless Heat Pump_Heat Load Factor_Weighted Average</v>
          </cell>
          <cell r="G25">
            <v>0.56999999999999995</v>
          </cell>
        </row>
        <row r="26">
          <cell r="A26" t="str">
            <v>Residential_HVAC_Ductless Heat Pump_EFLHheat_DMSHP_1 (Rockford)</v>
          </cell>
          <cell r="G26">
            <v>1924</v>
          </cell>
        </row>
        <row r="27">
          <cell r="A27" t="str">
            <v>Residential_HVAC_Ductless Heat Pump_EFLHheat_DMSHP_2 (Chicago)</v>
          </cell>
          <cell r="G27">
            <v>1726</v>
          </cell>
        </row>
        <row r="28">
          <cell r="A28" t="str">
            <v>Residential_HVAC_Ductless Heat Pump_EFLHheat_DMSHP_3 (Springfield)</v>
          </cell>
          <cell r="G28">
            <v>1708</v>
          </cell>
        </row>
        <row r="29">
          <cell r="A29" t="str">
            <v>Residential_HVAC_Ductless Heat Pump_EFLHheat_DMSHP_4 (Belleville)</v>
          </cell>
          <cell r="G29">
            <v>1195</v>
          </cell>
        </row>
        <row r="30">
          <cell r="A30" t="str">
            <v>Residential_HVAC_Ductless Heat Pump_EFLHheat_DMSHP_5 (Marion)</v>
          </cell>
          <cell r="G30">
            <v>1270</v>
          </cell>
        </row>
        <row r="31">
          <cell r="A31" t="str">
            <v>Residential_HVAC_Ductless Heat Pump_EFLHheat_DMSHP_Weighted Average</v>
          </cell>
          <cell r="G31">
            <v>1547</v>
          </cell>
        </row>
        <row r="32">
          <cell r="A32" t="str">
            <v>Residential_HVAC_Ductless Heat Pump_EFLHcool_1 (Rockford)</v>
          </cell>
          <cell r="G32">
            <v>547</v>
          </cell>
        </row>
        <row r="33">
          <cell r="A33" t="str">
            <v>Residential_HVAC_Ductless Heat Pump_EFLHcool_2 (Chicago)</v>
          </cell>
          <cell r="G33">
            <v>709</v>
          </cell>
        </row>
        <row r="34">
          <cell r="A34" t="str">
            <v>Residential_HVAC_Ductless Heat Pump_EFLHcool_3 (Springfield)</v>
          </cell>
          <cell r="G34">
            <v>779</v>
          </cell>
        </row>
        <row r="35">
          <cell r="A35" t="str">
            <v>Residential_HVAC_Ductless Heat Pump_EFLHcool_4 (Belleville)</v>
          </cell>
          <cell r="G35">
            <v>1082</v>
          </cell>
        </row>
        <row r="36">
          <cell r="A36" t="str">
            <v>Residential_HVAC_Ductless Heat Pump_EFLHcool_5 (Marion)</v>
          </cell>
          <cell r="G36">
            <v>956</v>
          </cell>
        </row>
        <row r="37">
          <cell r="A37" t="str">
            <v>Residential_HVAC_Ductless Heat Pump_EFLHcool_Weighted Average</v>
          </cell>
          <cell r="G37">
            <v>875</v>
          </cell>
        </row>
        <row r="38">
          <cell r="A38" t="str">
            <v>Commercial_HVAC_Air-Source Heat Pump_FLH_ASHPheat_1 (Rockford)</v>
          </cell>
          <cell r="G38">
            <v>1709</v>
          </cell>
        </row>
        <row r="39">
          <cell r="A39" t="str">
            <v>Commercial_HVAC_Air-Source Heat Pump_FLH_ASHPheat_2 (Chicago)</v>
          </cell>
          <cell r="G39">
            <v>1678</v>
          </cell>
        </row>
        <row r="40">
          <cell r="A40" t="str">
            <v>Commercial_HVAC_Air-Source Heat Pump_FLH_ASHPheat_3 (Springfield)</v>
          </cell>
          <cell r="G40">
            <v>1508</v>
          </cell>
        </row>
        <row r="41">
          <cell r="A41" t="str">
            <v>Commercial_HVAC_Air-Source Heat Pump_FLH_ASHPheat_4 (Belleville)</v>
          </cell>
          <cell r="G41">
            <v>1287</v>
          </cell>
        </row>
        <row r="42">
          <cell r="A42" t="str">
            <v>Commercial_HVAC_Air-Source Heat Pump_FLH_ASHPheat_5 (Marion)</v>
          </cell>
          <cell r="G42">
            <v>1411</v>
          </cell>
        </row>
        <row r="43">
          <cell r="A43" t="str">
            <v>Commercial_HVAC_Air-Source Heat Pump_FLH_ASHPheat_Weighted Average</v>
          </cell>
          <cell r="G43">
            <v>1508</v>
          </cell>
        </row>
        <row r="44">
          <cell r="A44" t="str">
            <v>Commercial_HVAC_Air-Source Heat Pump_FLHcool_1 (Rockford)</v>
          </cell>
          <cell r="G44">
            <v>1003</v>
          </cell>
        </row>
        <row r="45">
          <cell r="A45" t="str">
            <v>Commercial_HVAC_Air-Source Heat Pump_FLHcool_2 (Chicago)</v>
          </cell>
          <cell r="G45">
            <v>1019</v>
          </cell>
        </row>
        <row r="46">
          <cell r="A46" t="str">
            <v>Commercial_HVAC_Air-Source Heat Pump_FLHcool_3 (Springfield)</v>
          </cell>
          <cell r="G46">
            <v>1230</v>
          </cell>
        </row>
        <row r="47">
          <cell r="A47" t="str">
            <v>Commercial_HVAC_Air-Source Heat Pump_FLHcool_4 (Belleville)</v>
          </cell>
          <cell r="G47">
            <v>1403</v>
          </cell>
        </row>
        <row r="48">
          <cell r="A48" t="str">
            <v>Commercial_HVAC_Air-Source Heat Pump_FLHcool_5 (Marion)</v>
          </cell>
          <cell r="G48">
            <v>1236</v>
          </cell>
        </row>
        <row r="49">
          <cell r="A49" t="str">
            <v>Commercial_HVAC_Air-Source Heat Pump_FLHcool_Weighted Average</v>
          </cell>
          <cell r="G49">
            <v>1230</v>
          </cell>
        </row>
        <row r="50">
          <cell r="A50" t="str">
            <v>Commercial_HVAC_Ductless Heat Pump_FLH_ASHPheat_1 (Rockford)</v>
          </cell>
          <cell r="G50">
            <v>1709</v>
          </cell>
        </row>
        <row r="51">
          <cell r="A51" t="str">
            <v>Commercial_HVAC_Ductless Heat Pump_FLH_ASHPheat_2 (Chicago)</v>
          </cell>
          <cell r="G51">
            <v>1678</v>
          </cell>
        </row>
        <row r="52">
          <cell r="A52" t="str">
            <v>Commercial_HVAC_Ductless Heat Pump_FLH_ASHPheat_3 (Springfield)</v>
          </cell>
          <cell r="G52">
            <v>1508</v>
          </cell>
        </row>
        <row r="53">
          <cell r="A53" t="str">
            <v>Commercial_HVAC_Ductless Heat Pump_FLH_ASHPheat_4 (Belleville)</v>
          </cell>
          <cell r="G53">
            <v>1287</v>
          </cell>
        </row>
        <row r="54">
          <cell r="A54" t="str">
            <v>Commercial_HVAC_Ductless Heat Pump_FLH_ASHPheat_5 (Marion)</v>
          </cell>
          <cell r="G54">
            <v>1411</v>
          </cell>
        </row>
        <row r="55">
          <cell r="A55" t="str">
            <v>Commercial_HVAC_Ductless Heat Pump_FLH_ASHPheat_Weighted Average</v>
          </cell>
          <cell r="G55">
            <v>1508</v>
          </cell>
        </row>
        <row r="56">
          <cell r="A56" t="str">
            <v>Commercial_HVAC_Ductless Heat Pump_FLHcool_1 (Rockford)</v>
          </cell>
          <cell r="G56">
            <v>1003</v>
          </cell>
        </row>
        <row r="57">
          <cell r="A57" t="str">
            <v>Commercial_HVAC_Ductless Heat Pump_FLHcool_2 (Chicago)</v>
          </cell>
          <cell r="G57">
            <v>1019</v>
          </cell>
        </row>
        <row r="58">
          <cell r="A58" t="str">
            <v>Commercial_HVAC_Ductless Heat Pump_FLHcool_3 (Springfield)</v>
          </cell>
          <cell r="G58">
            <v>1230</v>
          </cell>
        </row>
        <row r="59">
          <cell r="A59" t="str">
            <v>Commercial_HVAC_Ductless Heat Pump_FLHcool_4 (Belleville)</v>
          </cell>
          <cell r="G59">
            <v>1403</v>
          </cell>
        </row>
        <row r="60">
          <cell r="A60" t="str">
            <v>Commercial_HVAC_Ductless Heat Pump_FLHcool_5 (Marion)</v>
          </cell>
          <cell r="G60">
            <v>1236</v>
          </cell>
        </row>
        <row r="61">
          <cell r="A61" t="str">
            <v>Commercial_HVAC_Ductless Heat Pump_FLHcool_Weighted Average</v>
          </cell>
          <cell r="G61">
            <v>1230</v>
          </cell>
        </row>
        <row r="62">
          <cell r="A62" t="str">
            <v>Residential_HVAC_Gas High Efficiency Furnace_EFLH_1 (Rockford)</v>
          </cell>
          <cell r="G62">
            <v>1022</v>
          </cell>
        </row>
        <row r="63">
          <cell r="A63" t="str">
            <v>Residential_HVAC_Gas High Efficiency Furnace_EFLH_2 (Chicago)</v>
          </cell>
          <cell r="G63">
            <v>976</v>
          </cell>
        </row>
        <row r="64">
          <cell r="A64" t="str">
            <v>Residential_HVAC_Gas High Efficiency Furnace_EFLH_3 (Springfield)</v>
          </cell>
          <cell r="G64">
            <v>836</v>
          </cell>
        </row>
        <row r="65">
          <cell r="A65" t="str">
            <v>Residential_HVAC_Gas High Efficiency Furnace_EFLH_4 (Belleville)</v>
          </cell>
          <cell r="G65">
            <v>645</v>
          </cell>
        </row>
        <row r="66">
          <cell r="A66" t="str">
            <v>Residential_HVAC_Gas High Efficiency Furnace_EFLH_5 (Marion)</v>
          </cell>
          <cell r="G66">
            <v>656</v>
          </cell>
        </row>
        <row r="67">
          <cell r="A67" t="str">
            <v>Residential_HVAC_Gas High Efficiency Furnace_EFLH_Weighted Average</v>
          </cell>
          <cell r="G67">
            <v>928</v>
          </cell>
        </row>
        <row r="68">
          <cell r="A68" t="str">
            <v>Residential_HVAC_Gas High Efficiency Boiler_EFLH_1 (Rockford)</v>
          </cell>
          <cell r="G68">
            <v>1022</v>
          </cell>
        </row>
        <row r="69">
          <cell r="A69" t="str">
            <v>Residential_HVAC_Gas High Efficiency Boiler_EFLH_2 (Chicago)</v>
          </cell>
          <cell r="G69">
            <v>976</v>
          </cell>
        </row>
        <row r="70">
          <cell r="A70" t="str">
            <v>Residential_HVAC_Gas High Efficiency Boiler_EFLH_3 (Springfield)</v>
          </cell>
          <cell r="G70">
            <v>836</v>
          </cell>
        </row>
        <row r="71">
          <cell r="A71" t="str">
            <v>Residential_HVAC_Gas High Efficiency Boiler_EFLH_4 (Belleville)</v>
          </cell>
          <cell r="G71">
            <v>645</v>
          </cell>
        </row>
        <row r="72">
          <cell r="A72" t="str">
            <v>Residential_HVAC_Gas High Efficiency Boiler_EFLH_5 (Marion)</v>
          </cell>
          <cell r="G72">
            <v>656</v>
          </cell>
        </row>
        <row r="73">
          <cell r="A73" t="str">
            <v>Residential_HVAC_Gas High Efficiency Boiler_EFLH_Weighted Average</v>
          </cell>
          <cell r="G73">
            <v>928</v>
          </cell>
        </row>
        <row r="74">
          <cell r="A74" t="str">
            <v>Residential_HVAC_Furnace_EFLH_1 (Rockford)</v>
          </cell>
          <cell r="G74">
            <v>1022</v>
          </cell>
        </row>
        <row r="75">
          <cell r="A75" t="str">
            <v>Residential_HVAC_Furnace_EFLH_2 (Chicago)</v>
          </cell>
          <cell r="G75">
            <v>976</v>
          </cell>
        </row>
        <row r="76">
          <cell r="A76" t="str">
            <v>Residential_HVAC_Furnace_EFLH_3 (Springfield)</v>
          </cell>
          <cell r="G76">
            <v>836</v>
          </cell>
        </row>
        <row r="77">
          <cell r="A77" t="str">
            <v>Residential_HVAC_Furnace_EFLH_4 (Belleville)</v>
          </cell>
          <cell r="G77">
            <v>645</v>
          </cell>
        </row>
        <row r="78">
          <cell r="A78" t="str">
            <v>Residential_HVAC_Furnace_EFLH_5 (Marion)</v>
          </cell>
          <cell r="G78">
            <v>656</v>
          </cell>
        </row>
        <row r="79">
          <cell r="A79" t="str">
            <v>Residential_HVAC_Furnace_EFLH_Weighted Average</v>
          </cell>
          <cell r="G79">
            <v>928</v>
          </cell>
        </row>
        <row r="80">
          <cell r="A80" t="str">
            <v>Residential_HVAC_Boiler_EFLH_1 (Rockford)</v>
          </cell>
          <cell r="G80">
            <v>1022</v>
          </cell>
        </row>
        <row r="81">
          <cell r="A81" t="str">
            <v>Residential_HVAC_Boiler_EFLH_2 (Chicago)</v>
          </cell>
          <cell r="G81">
            <v>976</v>
          </cell>
        </row>
        <row r="82">
          <cell r="A82" t="str">
            <v>Residential_HVAC_Boiler_EFLH_3 (Springfield)</v>
          </cell>
          <cell r="G82">
            <v>836</v>
          </cell>
        </row>
        <row r="83">
          <cell r="A83" t="str">
            <v>Residential_HVAC_Boiler_EFLH_4 (Belleville)</v>
          </cell>
          <cell r="G83">
            <v>645</v>
          </cell>
        </row>
        <row r="84">
          <cell r="A84" t="str">
            <v>Residential_HVAC_Boiler_EFLH_5 (Marion)</v>
          </cell>
          <cell r="G84">
            <v>656</v>
          </cell>
        </row>
        <row r="85">
          <cell r="A85" t="str">
            <v>Residential_HVAC_Boiler_EFLH_Weighted Average</v>
          </cell>
          <cell r="G85">
            <v>928</v>
          </cell>
        </row>
        <row r="86">
          <cell r="A86" t="str">
            <v>Residential_HVAC_Air-Source Heat Pump_HSPF2_ClimateAdj_1 (Rockford)</v>
          </cell>
          <cell r="G86">
            <v>0.77</v>
          </cell>
        </row>
        <row r="87">
          <cell r="A87" t="str">
            <v>Residential_HVAC_Air-Source Heat Pump_HSPF2_ClimateAdj_2 (Chicago)</v>
          </cell>
          <cell r="G87">
            <v>0.77</v>
          </cell>
        </row>
        <row r="88">
          <cell r="A88" t="str">
            <v>Residential_HVAC_Air-Source Heat Pump_HSPF2_ClimateAdj_3 (Springfield)</v>
          </cell>
          <cell r="G88">
            <v>0.91</v>
          </cell>
        </row>
        <row r="89">
          <cell r="A89" t="str">
            <v>Residential_HVAC_Air-Source Heat Pump_HSPF2_ClimateAdj_4 (Belleville)</v>
          </cell>
          <cell r="G89">
            <v>0.91</v>
          </cell>
        </row>
        <row r="90">
          <cell r="A90" t="str">
            <v>Residential_HVAC_Air-Source Heat Pump_HSPF2_ClimateAdj_5 (Marion)</v>
          </cell>
          <cell r="G90">
            <v>0.91</v>
          </cell>
        </row>
        <row r="91">
          <cell r="A91" t="str">
            <v>Residential_HVAC_Air-Source Heat Pump_HSPF2_ClimateAdj_Weighted Average</v>
          </cell>
          <cell r="G91">
            <v>0.89</v>
          </cell>
        </row>
        <row r="92">
          <cell r="A92" t="str">
            <v>Residential_HVAC_Ductless Heat Pump_HSPF2_ClimateAdj_1 (Rockford)</v>
          </cell>
          <cell r="G92">
            <v>0.77</v>
          </cell>
        </row>
        <row r="93">
          <cell r="A93" t="str">
            <v>Residential_HVAC_Ductless Heat Pump_HSPF2_ClimateAdj_2 (Chicago)</v>
          </cell>
          <cell r="G93">
            <v>0.77</v>
          </cell>
        </row>
        <row r="94">
          <cell r="A94" t="str">
            <v>Residential_HVAC_Ductless Heat Pump_HSPF2_ClimateAdj_3 (Springfield)</v>
          </cell>
          <cell r="G94">
            <v>0.91</v>
          </cell>
        </row>
        <row r="95">
          <cell r="A95" t="str">
            <v>Residential_HVAC_Ductless Heat Pump_HSPF2_ClimateAdj_4 (Belleville)</v>
          </cell>
          <cell r="G95">
            <v>0.91</v>
          </cell>
        </row>
        <row r="96">
          <cell r="A96" t="str">
            <v>Residential_HVAC_Ductless Heat Pump_HSPF2_ClimateAdj_5 (Marion)</v>
          </cell>
          <cell r="G96">
            <v>0.91</v>
          </cell>
        </row>
        <row r="97">
          <cell r="A97" t="str">
            <v>Residential_HVAC_Ductless Heat Pump_HSPF2_ClimateAdj_Weighted Average</v>
          </cell>
          <cell r="G97">
            <v>0.89</v>
          </cell>
        </row>
        <row r="98">
          <cell r="A98" t="str">
            <v>Residential_Building Shell_Ceiling/Attic Insulation #1 (Fossil Fuel Heat)_CDD_1 (Rockford)</v>
          </cell>
          <cell r="G98">
            <v>877</v>
          </cell>
        </row>
        <row r="99">
          <cell r="A99" t="str">
            <v>Residential_Building Shell_Ceiling/Attic Insulation #1 (Fossil Fuel Heat)_CDD_2 (Chicago)</v>
          </cell>
          <cell r="G99">
            <v>1047</v>
          </cell>
        </row>
        <row r="100">
          <cell r="A100" t="str">
            <v>Residential_Building Shell_Ceiling/Attic Insulation #1 (Fossil Fuel Heat)_CDD_3 (Springfield)</v>
          </cell>
          <cell r="G100">
            <v>1183</v>
          </cell>
        </row>
        <row r="101">
          <cell r="A101" t="str">
            <v>Residential_Building Shell_Ceiling/Attic Insulation #1 (Fossil Fuel Heat)_CDD_4 (Belleville)</v>
          </cell>
          <cell r="G101">
            <v>1641</v>
          </cell>
        </row>
        <row r="102">
          <cell r="A102" t="str">
            <v>Residential_Building Shell_Ceiling/Attic Insulation #1 (Fossil Fuel Heat)_CDD_5 (Marion)</v>
          </cell>
          <cell r="G102">
            <v>1450</v>
          </cell>
        </row>
        <row r="103">
          <cell r="A103" t="str">
            <v>Residential_Building Shell_Ceiling/Attic Insulation #1 (Fossil Fuel Heat)_CDD_Weighted Average</v>
          </cell>
          <cell r="G103">
            <v>1098</v>
          </cell>
        </row>
        <row r="104">
          <cell r="A104" t="str">
            <v>Residential_Building Shell_Ceiling/Attic Insulation #1 (Fossil Fuel Heat)_HDD_1 (Rockford)</v>
          </cell>
          <cell r="G104">
            <v>5230</v>
          </cell>
        </row>
        <row r="105">
          <cell r="A105" t="str">
            <v>Residential_Building Shell_Ceiling/Attic Insulation #1 (Fossil Fuel Heat)_HDD_2 (Chicago)</v>
          </cell>
          <cell r="G105">
            <v>4798</v>
          </cell>
        </row>
        <row r="106">
          <cell r="A106" t="str">
            <v>Residential_Building Shell_Ceiling/Attic Insulation #1 (Fossil Fuel Heat)_HDD_3 (Springfield)</v>
          </cell>
          <cell r="G106">
            <v>4266</v>
          </cell>
        </row>
        <row r="107">
          <cell r="A107" t="str">
            <v>Residential_Building Shell_Ceiling/Attic Insulation #1 (Fossil Fuel Heat)_HDD_4 (Belleville)</v>
          </cell>
          <cell r="G107">
            <v>3188</v>
          </cell>
        </row>
        <row r="108">
          <cell r="A108" t="str">
            <v>Residential_Building Shell_Ceiling/Attic Insulation #1 (Fossil Fuel Heat)_HDD_5 (Marion)</v>
          </cell>
          <cell r="G108">
            <v>3390</v>
          </cell>
        </row>
        <row r="109">
          <cell r="A109" t="str">
            <v>Residential_Building Shell_Ceiling/Attic Insulation #1 (Fossil Fuel Heat)_HDD_Weighted Average</v>
          </cell>
          <cell r="G109">
            <v>4631</v>
          </cell>
        </row>
        <row r="110">
          <cell r="A110" t="str">
            <v>Residential_Building Shell_Ceiling/Attic Insulation #1 (Fossil Fuel Heat)_FLH_cooling_1 (Rockford)</v>
          </cell>
          <cell r="G110">
            <v>547</v>
          </cell>
        </row>
        <row r="111">
          <cell r="A111" t="str">
            <v>Residential_Building Shell_Ceiling/Attic Insulation #1 (Fossil Fuel Heat)_FLH_cooling_2 (Chicago)</v>
          </cell>
          <cell r="G111">
            <v>709</v>
          </cell>
        </row>
        <row r="112">
          <cell r="A112" t="str">
            <v>Residential_Building Shell_Ceiling/Attic Insulation #1 (Fossil Fuel Heat)_FLH_cooling_3 (Springfield)</v>
          </cell>
          <cell r="G112">
            <v>779</v>
          </cell>
        </row>
        <row r="113">
          <cell r="A113" t="str">
            <v>Residential_Building Shell_Ceiling/Attic Insulation #1 (Fossil Fuel Heat)_FLH_cooling_4 (Belleville)</v>
          </cell>
          <cell r="G113">
            <v>1082</v>
          </cell>
        </row>
        <row r="114">
          <cell r="A114" t="str">
            <v>Residential_Building Shell_Ceiling/Attic Insulation #1 (Fossil Fuel Heat)_FLH_cooling_5 (Marion)</v>
          </cell>
          <cell r="G114">
            <v>956</v>
          </cell>
        </row>
        <row r="115">
          <cell r="A115" t="str">
            <v>Residential_Building Shell_Ceiling/Attic Insulation #1 (Fossil Fuel Heat)_FLH_cooling_Weighted Average</v>
          </cell>
          <cell r="G115">
            <v>875</v>
          </cell>
        </row>
        <row r="116">
          <cell r="A116" t="str">
            <v>Residential_Building Shell_Ceiling/Attic Insulation #2 (Fossil Fuel Heat)_CDD_1 (Rockford)</v>
          </cell>
          <cell r="G116">
            <v>877</v>
          </cell>
        </row>
        <row r="117">
          <cell r="A117" t="str">
            <v>Residential_Building Shell_Ceiling/Attic Insulation #2 (Fossil Fuel Heat)_CDD_2 (Chicago)</v>
          </cell>
          <cell r="G117">
            <v>1047</v>
          </cell>
        </row>
        <row r="118">
          <cell r="A118" t="str">
            <v>Residential_Building Shell_Ceiling/Attic Insulation #2 (Fossil Fuel Heat)_CDD_3 (Springfield)</v>
          </cell>
          <cell r="G118">
            <v>1183</v>
          </cell>
        </row>
        <row r="119">
          <cell r="A119" t="str">
            <v>Residential_Building Shell_Ceiling/Attic Insulation #2 (Fossil Fuel Heat)_CDD_4 (Belleville)</v>
          </cell>
          <cell r="G119">
            <v>1641</v>
          </cell>
        </row>
        <row r="120">
          <cell r="A120" t="str">
            <v>Residential_Building Shell_Ceiling/Attic Insulation #2 (Fossil Fuel Heat)_CDD_5 (Marion)</v>
          </cell>
          <cell r="G120">
            <v>1450</v>
          </cell>
        </row>
        <row r="121">
          <cell r="A121" t="str">
            <v>Residential_Building Shell_Ceiling/Attic Insulation #2 (Fossil Fuel Heat)_CDD_Weighted Average</v>
          </cell>
          <cell r="G121">
            <v>1098</v>
          </cell>
        </row>
        <row r="122">
          <cell r="A122" t="str">
            <v>Residential_Building Shell_Ceiling/Attic Insulation #2 (Fossil Fuel Heat)_HDD_1 (Rockford)</v>
          </cell>
          <cell r="G122">
            <v>5230</v>
          </cell>
        </row>
        <row r="123">
          <cell r="A123" t="str">
            <v>Residential_Building Shell_Ceiling/Attic Insulation #2 (Fossil Fuel Heat)_HDD_2 (Chicago)</v>
          </cell>
          <cell r="G123">
            <v>4798</v>
          </cell>
        </row>
        <row r="124">
          <cell r="A124" t="str">
            <v>Residential_Building Shell_Ceiling/Attic Insulation #2 (Fossil Fuel Heat)_HDD_3 (Springfield)</v>
          </cell>
          <cell r="G124">
            <v>4266</v>
          </cell>
        </row>
        <row r="125">
          <cell r="A125" t="str">
            <v>Residential_Building Shell_Ceiling/Attic Insulation #2 (Fossil Fuel Heat)_HDD_4 (Belleville)</v>
          </cell>
          <cell r="G125">
            <v>3188</v>
          </cell>
        </row>
        <row r="126">
          <cell r="A126" t="str">
            <v>Residential_Building Shell_Ceiling/Attic Insulation #2 (Fossil Fuel Heat)_HDD_5 (Marion)</v>
          </cell>
          <cell r="G126">
            <v>3390</v>
          </cell>
        </row>
        <row r="127">
          <cell r="A127" t="str">
            <v>Residential_Building Shell_Ceiling/Attic Insulation #2 (Fossil Fuel Heat)_HDD_Weighted Average</v>
          </cell>
          <cell r="G127">
            <v>4631</v>
          </cell>
        </row>
        <row r="128">
          <cell r="A128" t="str">
            <v>Residential_Building Shell_Ceiling/Attic Insulation #2 (Fossil Fuel Heat)_FLH_cooling_1 (Rockford)</v>
          </cell>
          <cell r="G128">
            <v>547</v>
          </cell>
        </row>
        <row r="129">
          <cell r="A129" t="str">
            <v>Residential_Building Shell_Ceiling/Attic Insulation #2 (Fossil Fuel Heat)_FLH_cooling_2 (Chicago)</v>
          </cell>
          <cell r="G129">
            <v>709</v>
          </cell>
        </row>
        <row r="130">
          <cell r="A130" t="str">
            <v>Residential_Building Shell_Ceiling/Attic Insulation #2 (Fossil Fuel Heat)_FLH_cooling_3 (Springfield)</v>
          </cell>
          <cell r="G130">
            <v>779</v>
          </cell>
        </row>
        <row r="131">
          <cell r="A131" t="str">
            <v>Residential_Building Shell_Ceiling/Attic Insulation #2 (Fossil Fuel Heat)_FLH_cooling_4 (Belleville)</v>
          </cell>
          <cell r="G131">
            <v>1082</v>
          </cell>
        </row>
        <row r="132">
          <cell r="A132" t="str">
            <v>Residential_Building Shell_Ceiling/Attic Insulation #2 (Fossil Fuel Heat)_FLH_cooling_5 (Marion)</v>
          </cell>
          <cell r="G132">
            <v>956</v>
          </cell>
        </row>
        <row r="133">
          <cell r="A133" t="str">
            <v>Residential_Building Shell_Ceiling/Attic Insulation #2 (Fossil Fuel Heat)_FLH_cooling_Weighted Average</v>
          </cell>
          <cell r="G133">
            <v>875</v>
          </cell>
        </row>
        <row r="134">
          <cell r="A134" t="str">
            <v>Residential_Building Shell_Attic Kneewall Insulation #1 (Fossil Fuel Heat)_CDD_1 (Rockford)</v>
          </cell>
          <cell r="G134">
            <v>877</v>
          </cell>
        </row>
        <row r="135">
          <cell r="A135" t="str">
            <v>Residential_Building Shell_Attic Kneewall Insulation #1 (Fossil Fuel Heat)_CDD_2 (Chicago)</v>
          </cell>
          <cell r="G135">
            <v>1047</v>
          </cell>
        </row>
        <row r="136">
          <cell r="A136" t="str">
            <v>Residential_Building Shell_Attic Kneewall Insulation #1 (Fossil Fuel Heat)_CDD_3 (Springfield)</v>
          </cell>
          <cell r="G136">
            <v>1183</v>
          </cell>
        </row>
        <row r="137">
          <cell r="A137" t="str">
            <v>Residential_Building Shell_Attic Kneewall Insulation #1 (Fossil Fuel Heat)_CDD_4 (Belleville)</v>
          </cell>
          <cell r="G137">
            <v>1641</v>
          </cell>
        </row>
        <row r="138">
          <cell r="A138" t="str">
            <v>Residential_Building Shell_Attic Kneewall Insulation #1 (Fossil Fuel Heat)_CDD_5 (Marion)</v>
          </cell>
          <cell r="G138">
            <v>1450</v>
          </cell>
        </row>
        <row r="139">
          <cell r="A139" t="str">
            <v>Residential_Building Shell_Attic Kneewall Insulation #1 (Fossil Fuel Heat)_CDD_Weighted Average</v>
          </cell>
          <cell r="G139">
            <v>1098</v>
          </cell>
        </row>
        <row r="140">
          <cell r="A140" t="str">
            <v>Residential_Building Shell_Attic Kneewall Insulation #1 (Fossil Fuel Heat)_HDD_1 (Rockford)</v>
          </cell>
          <cell r="G140">
            <v>5230</v>
          </cell>
        </row>
        <row r="141">
          <cell r="A141" t="str">
            <v>Residential_Building Shell_Attic Kneewall Insulation #1 (Fossil Fuel Heat)_HDD_2 (Chicago)</v>
          </cell>
          <cell r="G141">
            <v>4798</v>
          </cell>
        </row>
        <row r="142">
          <cell r="A142" t="str">
            <v>Residential_Building Shell_Attic Kneewall Insulation #1 (Fossil Fuel Heat)_HDD_3 (Springfield)</v>
          </cell>
          <cell r="G142">
            <v>4266</v>
          </cell>
        </row>
        <row r="143">
          <cell r="A143" t="str">
            <v>Residential_Building Shell_Attic Kneewall Insulation #1 (Fossil Fuel Heat)_HDD_4 (Belleville)</v>
          </cell>
          <cell r="G143">
            <v>3188</v>
          </cell>
        </row>
        <row r="144">
          <cell r="A144" t="str">
            <v>Residential_Building Shell_Attic Kneewall Insulation #1 (Fossil Fuel Heat)_HDD_5 (Marion)</v>
          </cell>
          <cell r="G144">
            <v>3390</v>
          </cell>
        </row>
        <row r="145">
          <cell r="A145" t="str">
            <v>Residential_Building Shell_Attic Kneewall Insulation #1 (Fossil Fuel Heat)_HDD_Weighted Average</v>
          </cell>
          <cell r="G145">
            <v>4631</v>
          </cell>
        </row>
        <row r="146">
          <cell r="A146" t="str">
            <v>Residential_Building Shell_Attic Kneewall Insulation #1 (Fossil Fuel Heat)_FLH_cooling_1 (Rockford)</v>
          </cell>
          <cell r="G146">
            <v>547</v>
          </cell>
        </row>
        <row r="147">
          <cell r="A147" t="str">
            <v>Residential_Building Shell_Attic Kneewall Insulation #1 (Fossil Fuel Heat)_FLH_cooling_2 (Chicago)</v>
          </cell>
          <cell r="G147">
            <v>709</v>
          </cell>
        </row>
        <row r="148">
          <cell r="A148" t="str">
            <v>Residential_Building Shell_Attic Kneewall Insulation #1 (Fossil Fuel Heat)_FLH_cooling_3 (Springfield)</v>
          </cell>
          <cell r="G148">
            <v>779</v>
          </cell>
        </row>
        <row r="149">
          <cell r="A149" t="str">
            <v>Residential_Building Shell_Attic Kneewall Insulation #1 (Fossil Fuel Heat)_FLH_cooling_4 (Belleville)</v>
          </cell>
          <cell r="G149">
            <v>1082</v>
          </cell>
        </row>
        <row r="150">
          <cell r="A150" t="str">
            <v>Residential_Building Shell_Attic Kneewall Insulation #1 (Fossil Fuel Heat)_FLH_cooling_5 (Marion)</v>
          </cell>
          <cell r="G150">
            <v>956</v>
          </cell>
        </row>
        <row r="151">
          <cell r="A151" t="str">
            <v>Residential_Building Shell_Attic Kneewall Insulation #1 (Fossil Fuel Heat)_FLH_cooling_Weighted Average</v>
          </cell>
          <cell r="G151">
            <v>875</v>
          </cell>
        </row>
        <row r="152">
          <cell r="A152" t="str">
            <v>Residential_Building Shell_Attic Kneewall Insulation #2 (Fossil Fuel Heat)_CDD_1 (Rockford)</v>
          </cell>
          <cell r="G152">
            <v>877</v>
          </cell>
        </row>
        <row r="153">
          <cell r="A153" t="str">
            <v>Residential_Building Shell_Attic Kneewall Insulation #2 (Fossil Fuel Heat)_CDD_2 (Chicago)</v>
          </cell>
          <cell r="G153">
            <v>1047</v>
          </cell>
        </row>
        <row r="154">
          <cell r="A154" t="str">
            <v>Residential_Building Shell_Attic Kneewall Insulation #2 (Fossil Fuel Heat)_CDD_3 (Springfield)</v>
          </cell>
          <cell r="G154">
            <v>1183</v>
          </cell>
        </row>
        <row r="155">
          <cell r="A155" t="str">
            <v>Residential_Building Shell_Attic Kneewall Insulation #2 (Fossil Fuel Heat)_CDD_4 (Belleville)</v>
          </cell>
          <cell r="G155">
            <v>1641</v>
          </cell>
        </row>
        <row r="156">
          <cell r="A156" t="str">
            <v>Residential_Building Shell_Attic Kneewall Insulation #2 (Fossil Fuel Heat)_CDD_5 (Marion)</v>
          </cell>
          <cell r="G156">
            <v>1450</v>
          </cell>
        </row>
        <row r="157">
          <cell r="A157" t="str">
            <v>Residential_Building Shell_Attic Kneewall Insulation #2 (Fossil Fuel Heat)_CDD_Weighted Average</v>
          </cell>
          <cell r="G157">
            <v>1098</v>
          </cell>
        </row>
        <row r="158">
          <cell r="A158" t="str">
            <v>Residential_Building Shell_Attic Kneewall Insulation #2 (Fossil Fuel Heat)_HDD_1 (Rockford)</v>
          </cell>
          <cell r="G158">
            <v>5230</v>
          </cell>
        </row>
        <row r="159">
          <cell r="A159" t="str">
            <v>Residential_Building Shell_Attic Kneewall Insulation #2 (Fossil Fuel Heat)_HDD_2 (Chicago)</v>
          </cell>
          <cell r="G159">
            <v>4798</v>
          </cell>
        </row>
        <row r="160">
          <cell r="A160" t="str">
            <v>Residential_Building Shell_Attic Kneewall Insulation #2 (Fossil Fuel Heat)_HDD_3 (Springfield)</v>
          </cell>
          <cell r="G160">
            <v>4266</v>
          </cell>
        </row>
        <row r="161">
          <cell r="A161" t="str">
            <v>Residential_Building Shell_Attic Kneewall Insulation #2 (Fossil Fuel Heat)_HDD_4 (Belleville)</v>
          </cell>
          <cell r="G161">
            <v>3188</v>
          </cell>
        </row>
        <row r="162">
          <cell r="A162" t="str">
            <v>Residential_Building Shell_Attic Kneewall Insulation #2 (Fossil Fuel Heat)_HDD_5 (Marion)</v>
          </cell>
          <cell r="G162">
            <v>3390</v>
          </cell>
        </row>
        <row r="163">
          <cell r="A163" t="str">
            <v>Residential_Building Shell_Attic Kneewall Insulation #2 (Fossil Fuel Heat)_HDD_Weighted Average</v>
          </cell>
          <cell r="G163">
            <v>4631</v>
          </cell>
        </row>
        <row r="164">
          <cell r="A164" t="str">
            <v>Residential_Building Shell_Attic Kneewall Insulation #2 (Fossil Fuel Heat)_FLH_cooling_1 (Rockford)</v>
          </cell>
          <cell r="G164">
            <v>547</v>
          </cell>
        </row>
        <row r="165">
          <cell r="A165" t="str">
            <v>Residential_Building Shell_Attic Kneewall Insulation #2 (Fossil Fuel Heat)_FLH_cooling_2 (Chicago)</v>
          </cell>
          <cell r="G165">
            <v>709</v>
          </cell>
        </row>
        <row r="166">
          <cell r="A166" t="str">
            <v>Residential_Building Shell_Attic Kneewall Insulation #2 (Fossil Fuel Heat)_FLH_cooling_3 (Springfield)</v>
          </cell>
          <cell r="G166">
            <v>779</v>
          </cell>
        </row>
        <row r="167">
          <cell r="A167" t="str">
            <v>Residential_Building Shell_Attic Kneewall Insulation #2 (Fossil Fuel Heat)_FLH_cooling_4 (Belleville)</v>
          </cell>
          <cell r="G167">
            <v>1082</v>
          </cell>
        </row>
        <row r="168">
          <cell r="A168" t="str">
            <v>Residential_Building Shell_Attic Kneewall Insulation #2 (Fossil Fuel Heat)_FLH_cooling_5 (Marion)</v>
          </cell>
          <cell r="G168">
            <v>956</v>
          </cell>
        </row>
        <row r="169">
          <cell r="A169" t="str">
            <v>Residential_Building Shell_Attic Kneewall Insulation #2 (Fossil Fuel Heat)_FLH_cooling_Weighted Average</v>
          </cell>
          <cell r="G169">
            <v>875</v>
          </cell>
        </row>
        <row r="170">
          <cell r="A170" t="str">
            <v>Residential_Building Shell_Ceiling/Attic Insulation #1 (Electric Heat)_CDD_1 (Rockford)</v>
          </cell>
          <cell r="G170">
            <v>877</v>
          </cell>
        </row>
        <row r="171">
          <cell r="A171" t="str">
            <v>Residential_Building Shell_Ceiling/Attic Insulation #1 (Electric Heat)_CDD_2 (Chicago)</v>
          </cell>
          <cell r="G171">
            <v>1047</v>
          </cell>
        </row>
        <row r="172">
          <cell r="A172" t="str">
            <v>Residential_Building Shell_Ceiling/Attic Insulation #1 (Electric Heat)_CDD_3 (Springfield)</v>
          </cell>
          <cell r="G172">
            <v>1183</v>
          </cell>
        </row>
        <row r="173">
          <cell r="A173" t="str">
            <v>Residential_Building Shell_Ceiling/Attic Insulation #1 (Electric Heat)_CDD_4 (Belleville)</v>
          </cell>
          <cell r="G173">
            <v>1641</v>
          </cell>
        </row>
        <row r="174">
          <cell r="A174" t="str">
            <v>Residential_Building Shell_Ceiling/Attic Insulation #1 (Electric Heat)_CDD_5 (Marion)</v>
          </cell>
          <cell r="G174">
            <v>1450</v>
          </cell>
        </row>
        <row r="175">
          <cell r="A175" t="str">
            <v>Residential_Building Shell_Ceiling/Attic Insulation #1 (Electric Heat)_CDD_Weighted Average</v>
          </cell>
          <cell r="G175">
            <v>1098</v>
          </cell>
        </row>
        <row r="176">
          <cell r="A176" t="str">
            <v>Residential_Building Shell_Ceiling/Attic Insulation #1 (Electric Heat)_HDD_1 (Rockford)</v>
          </cell>
          <cell r="G176">
            <v>5230</v>
          </cell>
        </row>
        <row r="177">
          <cell r="A177" t="str">
            <v>Residential_Building Shell_Ceiling/Attic Insulation #1 (Electric Heat)_HDD_2 (Chicago)</v>
          </cell>
          <cell r="G177">
            <v>4798</v>
          </cell>
        </row>
        <row r="178">
          <cell r="A178" t="str">
            <v>Residential_Building Shell_Ceiling/Attic Insulation #1 (Electric Heat)_HDD_3 (Springfield)</v>
          </cell>
          <cell r="G178">
            <v>4266</v>
          </cell>
        </row>
        <row r="179">
          <cell r="A179" t="str">
            <v>Residential_Building Shell_Ceiling/Attic Insulation #1 (Electric Heat)_HDD_4 (Belleville)</v>
          </cell>
          <cell r="G179">
            <v>3188</v>
          </cell>
        </row>
        <row r="180">
          <cell r="A180" t="str">
            <v>Residential_Building Shell_Ceiling/Attic Insulation #1 (Electric Heat)_HDD_5 (Marion)</v>
          </cell>
          <cell r="G180">
            <v>3390</v>
          </cell>
        </row>
        <row r="181">
          <cell r="A181" t="str">
            <v>Residential_Building Shell_Ceiling/Attic Insulation #1 (Electric Heat)_HDD_Weighted Average</v>
          </cell>
          <cell r="G181">
            <v>4631</v>
          </cell>
        </row>
        <row r="182">
          <cell r="A182" t="str">
            <v>Residential_Building Shell_Ceiling/Attic Insulation #1 (Electric Heat)_FLH_cooling_1 (Rockford)</v>
          </cell>
          <cell r="G182">
            <v>547</v>
          </cell>
        </row>
        <row r="183">
          <cell r="A183" t="str">
            <v>Residential_Building Shell_Ceiling/Attic Insulation #1 (Electric Heat)_FLH_cooling_2 (Chicago)</v>
          </cell>
          <cell r="G183">
            <v>709</v>
          </cell>
        </row>
        <row r="184">
          <cell r="A184" t="str">
            <v>Residential_Building Shell_Ceiling/Attic Insulation #1 (Electric Heat)_FLH_cooling_3 (Springfield)</v>
          </cell>
          <cell r="G184">
            <v>779</v>
          </cell>
        </row>
        <row r="185">
          <cell r="A185" t="str">
            <v>Residential_Building Shell_Ceiling/Attic Insulation #1 (Electric Heat)_FLH_cooling_4 (Belleville)</v>
          </cell>
          <cell r="G185">
            <v>1082</v>
          </cell>
        </row>
        <row r="186">
          <cell r="A186" t="str">
            <v>Residential_Building Shell_Ceiling/Attic Insulation #1 (Electric Heat)_FLH_cooling_5 (Marion)</v>
          </cell>
          <cell r="G186">
            <v>956</v>
          </cell>
        </row>
        <row r="187">
          <cell r="A187" t="str">
            <v>Residential_Building Shell_Ceiling/Attic Insulation #1 (Electric Heat)_FLH_cooling_Weighted Average</v>
          </cell>
          <cell r="G187">
            <v>875</v>
          </cell>
        </row>
        <row r="188">
          <cell r="A188" t="str">
            <v>Residential_Building Shell_Ceiling/Attic Insulation #2 (Electric Heat)_CDD_1 (Rockford)</v>
          </cell>
          <cell r="G188">
            <v>877</v>
          </cell>
        </row>
        <row r="189">
          <cell r="A189" t="str">
            <v>Residential_Building Shell_Ceiling/Attic Insulation #2 (Electric Heat)_CDD_2 (Chicago)</v>
          </cell>
          <cell r="G189">
            <v>1047</v>
          </cell>
        </row>
        <row r="190">
          <cell r="A190" t="str">
            <v>Residential_Building Shell_Ceiling/Attic Insulation #2 (Electric Heat)_CDD_3 (Springfield)</v>
          </cell>
          <cell r="G190">
            <v>1183</v>
          </cell>
        </row>
        <row r="191">
          <cell r="A191" t="str">
            <v>Residential_Building Shell_Ceiling/Attic Insulation #2 (Electric Heat)_CDD_4 (Belleville)</v>
          </cell>
          <cell r="G191">
            <v>1641</v>
          </cell>
        </row>
        <row r="192">
          <cell r="A192" t="str">
            <v>Residential_Building Shell_Ceiling/Attic Insulation #2 (Electric Heat)_CDD_5 (Marion)</v>
          </cell>
          <cell r="G192">
            <v>1450</v>
          </cell>
        </row>
        <row r="193">
          <cell r="A193" t="str">
            <v>Residential_Building Shell_Ceiling/Attic Insulation #2 (Electric Heat)_CDD_Weighted Average</v>
          </cell>
          <cell r="G193">
            <v>1098</v>
          </cell>
        </row>
        <row r="194">
          <cell r="A194" t="str">
            <v>Residential_Building Shell_Ceiling/Attic Insulation #2 (Electric Heat)_HDD_1 (Rockford)</v>
          </cell>
          <cell r="G194">
            <v>5230</v>
          </cell>
        </row>
        <row r="195">
          <cell r="A195" t="str">
            <v>Residential_Building Shell_Ceiling/Attic Insulation #2 (Electric Heat)_HDD_2 (Chicago)</v>
          </cell>
          <cell r="G195">
            <v>4798</v>
          </cell>
        </row>
        <row r="196">
          <cell r="A196" t="str">
            <v>Residential_Building Shell_Ceiling/Attic Insulation #2 (Electric Heat)_HDD_3 (Springfield)</v>
          </cell>
          <cell r="G196">
            <v>4266</v>
          </cell>
        </row>
        <row r="197">
          <cell r="A197" t="str">
            <v>Residential_Building Shell_Ceiling/Attic Insulation #2 (Electric Heat)_HDD_4 (Belleville)</v>
          </cell>
          <cell r="G197">
            <v>3188</v>
          </cell>
        </row>
        <row r="198">
          <cell r="A198" t="str">
            <v>Residential_Building Shell_Ceiling/Attic Insulation #2 (Electric Heat)_HDD_5 (Marion)</v>
          </cell>
          <cell r="G198">
            <v>3390</v>
          </cell>
        </row>
        <row r="199">
          <cell r="A199" t="str">
            <v>Residential_Building Shell_Ceiling/Attic Insulation #2 (Electric Heat)_HDD_Weighted Average</v>
          </cell>
          <cell r="G199">
            <v>4631</v>
          </cell>
        </row>
        <row r="200">
          <cell r="A200" t="str">
            <v>Residential_Building Shell_Ceiling/Attic Insulation #2 (Electric Heat)_FLH_cooling_1 (Rockford)</v>
          </cell>
          <cell r="G200">
            <v>547</v>
          </cell>
        </row>
        <row r="201">
          <cell r="A201" t="str">
            <v>Residential_Building Shell_Ceiling/Attic Insulation #2 (Electric Heat)_FLH_cooling_2 (Chicago)</v>
          </cell>
          <cell r="G201">
            <v>709</v>
          </cell>
        </row>
        <row r="202">
          <cell r="A202" t="str">
            <v>Residential_Building Shell_Ceiling/Attic Insulation #2 (Electric Heat)_FLH_cooling_3 (Springfield)</v>
          </cell>
          <cell r="G202">
            <v>779</v>
          </cell>
        </row>
        <row r="203">
          <cell r="A203" t="str">
            <v>Residential_Building Shell_Ceiling/Attic Insulation #2 (Electric Heat)_FLH_cooling_4 (Belleville)</v>
          </cell>
          <cell r="G203">
            <v>1082</v>
          </cell>
        </row>
        <row r="204">
          <cell r="A204" t="str">
            <v>Residential_Building Shell_Ceiling/Attic Insulation #2 (Electric Heat)_FLH_cooling_5 (Marion)</v>
          </cell>
          <cell r="G204">
            <v>956</v>
          </cell>
        </row>
        <row r="205">
          <cell r="A205" t="str">
            <v>Residential_Building Shell_Ceiling/Attic Insulation #2 (Electric Heat)_FLH_cooling_Weighted Average</v>
          </cell>
          <cell r="G205">
            <v>875</v>
          </cell>
        </row>
        <row r="206">
          <cell r="A206" t="str">
            <v>Residential_Building Shell_Attic Kneewall Insulation #1 (Electric Heat)_CDD_1 (Rockford)</v>
          </cell>
          <cell r="G206">
            <v>877</v>
          </cell>
        </row>
        <row r="207">
          <cell r="A207" t="str">
            <v>Residential_Building Shell_Attic Kneewall Insulation #1 (Electric Heat)_CDD_2 (Chicago)</v>
          </cell>
          <cell r="G207">
            <v>1047</v>
          </cell>
        </row>
        <row r="208">
          <cell r="A208" t="str">
            <v>Residential_Building Shell_Attic Kneewall Insulation #1 (Electric Heat)_CDD_3 (Springfield)</v>
          </cell>
          <cell r="G208">
            <v>1183</v>
          </cell>
        </row>
        <row r="209">
          <cell r="A209" t="str">
            <v>Residential_Building Shell_Attic Kneewall Insulation #1 (Electric Heat)_CDD_4 (Belleville)</v>
          </cell>
          <cell r="G209">
            <v>1641</v>
          </cell>
        </row>
        <row r="210">
          <cell r="A210" t="str">
            <v>Residential_Building Shell_Attic Kneewall Insulation #1 (Electric Heat)_CDD_5 (Marion)</v>
          </cell>
          <cell r="G210">
            <v>1450</v>
          </cell>
        </row>
        <row r="211">
          <cell r="A211" t="str">
            <v>Residential_Building Shell_Attic Kneewall Insulation #1 (Electric Heat)_CDD_Weighted Average</v>
          </cell>
          <cell r="G211">
            <v>1098</v>
          </cell>
        </row>
        <row r="212">
          <cell r="A212" t="str">
            <v>Residential_Building Shell_Attic Kneewall Insulation #1 (Electric Heat)_HDD_1 (Rockford)</v>
          </cell>
          <cell r="G212">
            <v>5230</v>
          </cell>
        </row>
        <row r="213">
          <cell r="A213" t="str">
            <v>Residential_Building Shell_Attic Kneewall Insulation #1 (Electric Heat)_HDD_2 (Chicago)</v>
          </cell>
          <cell r="G213">
            <v>4798</v>
          </cell>
        </row>
        <row r="214">
          <cell r="A214" t="str">
            <v>Residential_Building Shell_Attic Kneewall Insulation #1 (Electric Heat)_HDD_3 (Springfield)</v>
          </cell>
          <cell r="G214">
            <v>4266</v>
          </cell>
        </row>
        <row r="215">
          <cell r="A215" t="str">
            <v>Residential_Building Shell_Attic Kneewall Insulation #1 (Electric Heat)_HDD_4 (Belleville)</v>
          </cell>
          <cell r="G215">
            <v>3188</v>
          </cell>
        </row>
        <row r="216">
          <cell r="A216" t="str">
            <v>Residential_Building Shell_Attic Kneewall Insulation #1 (Electric Heat)_HDD_5 (Marion)</v>
          </cell>
          <cell r="G216">
            <v>3390</v>
          </cell>
        </row>
        <row r="217">
          <cell r="A217" t="str">
            <v>Residential_Building Shell_Attic Kneewall Insulation #1 (Electric Heat)_HDD_Weighted Average</v>
          </cell>
          <cell r="G217">
            <v>4631</v>
          </cell>
        </row>
        <row r="218">
          <cell r="A218" t="str">
            <v>Residential_Building Shell_Attic Kneewall Insulation #1 (Electric Heat)_FLH_cooling_1 (Rockford)</v>
          </cell>
          <cell r="G218">
            <v>547</v>
          </cell>
        </row>
        <row r="219">
          <cell r="A219" t="str">
            <v>Residential_Building Shell_Attic Kneewall Insulation #1 (Electric Heat)_FLH_cooling_2 (Chicago)</v>
          </cell>
          <cell r="G219">
            <v>709</v>
          </cell>
        </row>
        <row r="220">
          <cell r="A220" t="str">
            <v>Residential_Building Shell_Attic Kneewall Insulation #1 (Electric Heat)_FLH_cooling_3 (Springfield)</v>
          </cell>
          <cell r="G220">
            <v>779</v>
          </cell>
        </row>
        <row r="221">
          <cell r="A221" t="str">
            <v>Residential_Building Shell_Attic Kneewall Insulation #1 (Electric Heat)_FLH_cooling_4 (Belleville)</v>
          </cell>
          <cell r="G221">
            <v>1082</v>
          </cell>
        </row>
        <row r="222">
          <cell r="A222" t="str">
            <v>Residential_Building Shell_Attic Kneewall Insulation #1 (Electric Heat)_FLH_cooling_5 (Marion)</v>
          </cell>
          <cell r="G222">
            <v>956</v>
          </cell>
        </row>
        <row r="223">
          <cell r="A223" t="str">
            <v>Residential_Building Shell_Attic Kneewall Insulation #1 (Electric Heat)_FLH_cooling_Weighted Average</v>
          </cell>
          <cell r="G223">
            <v>875</v>
          </cell>
        </row>
        <row r="224">
          <cell r="A224" t="str">
            <v>Residential_Building Shell_Attic Kneewall Insulation #2 (Electric Heat)_CDD_1 (Rockford)</v>
          </cell>
          <cell r="G224">
            <v>877</v>
          </cell>
        </row>
        <row r="225">
          <cell r="A225" t="str">
            <v>Residential_Building Shell_Attic Kneewall Insulation #2 (Electric Heat)_CDD_2 (Chicago)</v>
          </cell>
          <cell r="G225">
            <v>1047</v>
          </cell>
        </row>
        <row r="226">
          <cell r="A226" t="str">
            <v>Residential_Building Shell_Attic Kneewall Insulation #2 (Electric Heat)_CDD_3 (Springfield)</v>
          </cell>
          <cell r="G226">
            <v>1183</v>
          </cell>
        </row>
        <row r="227">
          <cell r="A227" t="str">
            <v>Residential_Building Shell_Attic Kneewall Insulation #2 (Electric Heat)_CDD_4 (Belleville)</v>
          </cell>
          <cell r="G227">
            <v>1641</v>
          </cell>
        </row>
        <row r="228">
          <cell r="A228" t="str">
            <v>Residential_Building Shell_Attic Kneewall Insulation #2 (Electric Heat)_CDD_5 (Marion)</v>
          </cell>
          <cell r="G228">
            <v>1450</v>
          </cell>
        </row>
        <row r="229">
          <cell r="A229" t="str">
            <v>Residential_Building Shell_Attic Kneewall Insulation #2 (Electric Heat)_CDD_Weighted Average</v>
          </cell>
          <cell r="G229">
            <v>1098</v>
          </cell>
        </row>
        <row r="230">
          <cell r="A230" t="str">
            <v>Residential_Building Shell_Attic Kneewall Insulation #2 (Electric Heat)_HDD_1 (Rockford)</v>
          </cell>
          <cell r="G230">
            <v>5230</v>
          </cell>
        </row>
        <row r="231">
          <cell r="A231" t="str">
            <v>Residential_Building Shell_Attic Kneewall Insulation #2 (Electric Heat)_HDD_2 (Chicago)</v>
          </cell>
          <cell r="G231">
            <v>4798</v>
          </cell>
        </row>
        <row r="232">
          <cell r="A232" t="str">
            <v>Residential_Building Shell_Attic Kneewall Insulation #2 (Electric Heat)_HDD_3 (Springfield)</v>
          </cell>
          <cell r="G232">
            <v>4266</v>
          </cell>
        </row>
        <row r="233">
          <cell r="A233" t="str">
            <v>Residential_Building Shell_Attic Kneewall Insulation #2 (Electric Heat)_HDD_4 (Belleville)</v>
          </cell>
          <cell r="G233">
            <v>3188</v>
          </cell>
        </row>
        <row r="234">
          <cell r="A234" t="str">
            <v>Residential_Building Shell_Attic Kneewall Insulation #2 (Electric Heat)_HDD_5 (Marion)</v>
          </cell>
          <cell r="G234">
            <v>3390</v>
          </cell>
        </row>
        <row r="235">
          <cell r="A235" t="str">
            <v>Residential_Building Shell_Attic Kneewall Insulation #2 (Electric Heat)_HDD_Weighted Average</v>
          </cell>
          <cell r="G235">
            <v>4631</v>
          </cell>
        </row>
        <row r="236">
          <cell r="A236" t="str">
            <v>Residential_Building Shell_Attic Kneewall Insulation #2 (Electric Heat)_FLH_cooling_1 (Rockford)</v>
          </cell>
          <cell r="G236">
            <v>547</v>
          </cell>
        </row>
        <row r="237">
          <cell r="A237" t="str">
            <v>Residential_Building Shell_Attic Kneewall Insulation #2 (Electric Heat)_FLH_cooling_2 (Chicago)</v>
          </cell>
          <cell r="G237">
            <v>709</v>
          </cell>
        </row>
        <row r="238">
          <cell r="A238" t="str">
            <v>Residential_Building Shell_Attic Kneewall Insulation #2 (Electric Heat)_FLH_cooling_3 (Springfield)</v>
          </cell>
          <cell r="G238">
            <v>779</v>
          </cell>
        </row>
        <row r="239">
          <cell r="A239" t="str">
            <v>Residential_Building Shell_Attic Kneewall Insulation #2 (Electric Heat)_FLH_cooling_4 (Belleville)</v>
          </cell>
          <cell r="G239">
            <v>1082</v>
          </cell>
        </row>
        <row r="240">
          <cell r="A240" t="str">
            <v>Residential_Building Shell_Attic Kneewall Insulation #2 (Electric Heat)_FLH_cooling_5 (Marion)</v>
          </cell>
          <cell r="G240">
            <v>956</v>
          </cell>
        </row>
        <row r="241">
          <cell r="A241" t="str">
            <v>Residential_Building Shell_Attic Kneewall Insulation #2 (Electric Heat)_FLH_cooling_Weighted Average</v>
          </cell>
          <cell r="G241">
            <v>875</v>
          </cell>
        </row>
        <row r="242">
          <cell r="A242" t="str">
            <v>Residential_Building Shell_Air Sealing (Fossil Fuel Heat)_CDD_1 (Rockford)</v>
          </cell>
          <cell r="G242">
            <v>877</v>
          </cell>
        </row>
        <row r="243">
          <cell r="A243" t="str">
            <v>Residential_Building Shell_Air Sealing (Fossil Fuel Heat)_CDD_2 (Chicago)</v>
          </cell>
          <cell r="G243">
            <v>1047</v>
          </cell>
        </row>
        <row r="244">
          <cell r="A244" t="str">
            <v>Residential_Building Shell_Air Sealing (Fossil Fuel Heat)_CDD_3 (Springfield)</v>
          </cell>
          <cell r="G244">
            <v>1183</v>
          </cell>
        </row>
        <row r="245">
          <cell r="A245" t="str">
            <v>Residential_Building Shell_Air Sealing (Fossil Fuel Heat)_CDD_4 (Belleville)</v>
          </cell>
          <cell r="G245">
            <v>1641</v>
          </cell>
        </row>
        <row r="246">
          <cell r="A246" t="str">
            <v>Residential_Building Shell_Air Sealing (Fossil Fuel Heat)_CDD_5 (Marion)</v>
          </cell>
          <cell r="G246">
            <v>1450</v>
          </cell>
        </row>
        <row r="247">
          <cell r="A247" t="str">
            <v>Residential_Building Shell_Air Sealing (Fossil Fuel Heat)_HDD_1 (Rockford)</v>
          </cell>
          <cell r="G247">
            <v>5230</v>
          </cell>
        </row>
        <row r="248">
          <cell r="A248" t="str">
            <v>Residential_Building Shell_Air Sealing (Fossil Fuel Heat)_HDD_2 (Chicago)</v>
          </cell>
          <cell r="G248">
            <v>4798</v>
          </cell>
        </row>
        <row r="249">
          <cell r="A249" t="str">
            <v>Residential_Building Shell_Air Sealing (Fossil Fuel Heat)_HDD_3 (Springfield)</v>
          </cell>
          <cell r="G249">
            <v>4266</v>
          </cell>
        </row>
        <row r="250">
          <cell r="A250" t="str">
            <v>Residential_Building Shell_Air Sealing (Fossil Fuel Heat)_HDD_4 (Belleville)</v>
          </cell>
          <cell r="G250">
            <v>3188</v>
          </cell>
        </row>
        <row r="251">
          <cell r="A251" t="str">
            <v>Residential_Building Shell_Air Sealing (Fossil Fuel Heat)_HDD_5 (Marion)</v>
          </cell>
          <cell r="G251">
            <v>3390</v>
          </cell>
        </row>
        <row r="252">
          <cell r="A252" t="str">
            <v>Residential_Building Shell_Air Sealing (Fossil Fuel Heat)_FLH_cooling_1 (Rockford)</v>
          </cell>
          <cell r="G252">
            <v>547</v>
          </cell>
        </row>
        <row r="253">
          <cell r="A253" t="str">
            <v>Residential_Building Shell_Air Sealing (Fossil Fuel Heat)_FLH_cooling_2 (Chicago)</v>
          </cell>
          <cell r="G253">
            <v>709</v>
          </cell>
        </row>
        <row r="254">
          <cell r="A254" t="str">
            <v>Residential_Building Shell_Air Sealing (Fossil Fuel Heat)_FLH_cooling_3 (Springfield)</v>
          </cell>
          <cell r="G254">
            <v>779</v>
          </cell>
        </row>
        <row r="255">
          <cell r="A255" t="str">
            <v>Residential_Building Shell_Air Sealing (Fossil Fuel Heat)_FLH_cooling_4 (Belleville)</v>
          </cell>
          <cell r="G255">
            <v>1082</v>
          </cell>
        </row>
        <row r="256">
          <cell r="A256" t="str">
            <v>Residential_Building Shell_Air Sealing (Fossil Fuel Heat)_FLH_cooling_5 (Marion)</v>
          </cell>
          <cell r="G256">
            <v>956</v>
          </cell>
        </row>
        <row r="257">
          <cell r="A257" t="str">
            <v>Residential_Building Shell_Air Sealing (Electric Heat)_CDD_1 (Rockford)</v>
          </cell>
          <cell r="G257">
            <v>877</v>
          </cell>
        </row>
        <row r="258">
          <cell r="A258" t="str">
            <v>Residential_Building Shell_Air Sealing (Electric Heat)_CDD_2 (Chicago)</v>
          </cell>
          <cell r="G258">
            <v>1047</v>
          </cell>
        </row>
        <row r="259">
          <cell r="A259" t="str">
            <v>Residential_Building Shell_Air Sealing (Electric Heat)_CDD_3 (Springfield)</v>
          </cell>
          <cell r="G259">
            <v>1183</v>
          </cell>
        </row>
        <row r="260">
          <cell r="A260" t="str">
            <v>Residential_Building Shell_Air Sealing (Electric Heat)_CDD_4 (Belleville)</v>
          </cell>
          <cell r="G260">
            <v>1641</v>
          </cell>
        </row>
        <row r="261">
          <cell r="A261" t="str">
            <v>Residential_Building Shell_Air Sealing (Electric Heat)_CDD_5 (Marion)</v>
          </cell>
          <cell r="G261">
            <v>1450</v>
          </cell>
        </row>
        <row r="262">
          <cell r="A262" t="str">
            <v>Residential_Building Shell_Air Sealing (Electric Heat)_HDD_1 (Rockford)</v>
          </cell>
          <cell r="G262">
            <v>5230</v>
          </cell>
        </row>
        <row r="263">
          <cell r="A263" t="str">
            <v>Residential_Building Shell_Air Sealing (Electric Heat)_HDD_2 (Chicago)</v>
          </cell>
          <cell r="G263">
            <v>4798</v>
          </cell>
        </row>
        <row r="264">
          <cell r="A264" t="str">
            <v>Residential_Building Shell_Air Sealing (Electric Heat)_HDD_3 (Springfield)</v>
          </cell>
          <cell r="G264">
            <v>4266</v>
          </cell>
        </row>
        <row r="265">
          <cell r="A265" t="str">
            <v>Residential_Building Shell_Air Sealing (Electric Heat)_HDD_4 (Belleville)</v>
          </cell>
          <cell r="G265">
            <v>3188</v>
          </cell>
        </row>
        <row r="266">
          <cell r="A266" t="str">
            <v>Residential_Building Shell_Air Sealing (Electric Heat)_HDD_5 (Marion)</v>
          </cell>
          <cell r="G266">
            <v>3390</v>
          </cell>
        </row>
        <row r="267">
          <cell r="A267" t="str">
            <v>Residential_Building Shell_Air Sealing (Electric Heat)_FLH_cooling_1 (Rockford)</v>
          </cell>
          <cell r="G267">
            <v>547</v>
          </cell>
        </row>
        <row r="268">
          <cell r="A268" t="str">
            <v>Residential_Building Shell_Air Sealing (Electric Heat)_FLH_cooling_2 (Chicago)</v>
          </cell>
          <cell r="G268">
            <v>709</v>
          </cell>
        </row>
        <row r="269">
          <cell r="A269" t="str">
            <v>Residential_Building Shell_Air Sealing (Electric Heat)_FLH_cooling_3 (Springfield)</v>
          </cell>
          <cell r="G269">
            <v>779</v>
          </cell>
        </row>
        <row r="270">
          <cell r="A270" t="str">
            <v>Residential_Building Shell_Air Sealing (Electric Heat)_FLH_cooling_4 (Belleville)</v>
          </cell>
          <cell r="G270">
            <v>1082</v>
          </cell>
        </row>
        <row r="271">
          <cell r="A271" t="str">
            <v>Residential_Building Shell_Air Sealing (Electric Heat)_FLH_cooling_5 (Marion)</v>
          </cell>
          <cell r="G271">
            <v>956</v>
          </cell>
        </row>
        <row r="272">
          <cell r="A272" t="str">
            <v>Residential_Building Shell_Wall Insulation (Fossil Fuel Heat)_CDD_1 (Rockford)</v>
          </cell>
          <cell r="G272">
            <v>877</v>
          </cell>
        </row>
        <row r="273">
          <cell r="A273" t="str">
            <v>Residential_Building Shell_Wall Insulation (Fossil Fuel Heat)_CDD_2 (Chicago)</v>
          </cell>
          <cell r="G273">
            <v>1047</v>
          </cell>
        </row>
        <row r="274">
          <cell r="A274" t="str">
            <v>Residential_Building Shell_Wall Insulation (Fossil Fuel Heat)_CDD_3 (Springfield)</v>
          </cell>
          <cell r="G274">
            <v>1183</v>
          </cell>
        </row>
        <row r="275">
          <cell r="A275" t="str">
            <v>Residential_Building Shell_Wall Insulation (Fossil Fuel Heat)_CDD_4 (Belleville)</v>
          </cell>
          <cell r="G275">
            <v>1641</v>
          </cell>
        </row>
        <row r="276">
          <cell r="A276" t="str">
            <v>Residential_Building Shell_Wall Insulation (Fossil Fuel Heat)_CDD_5 (Marion)</v>
          </cell>
          <cell r="G276">
            <v>1450</v>
          </cell>
        </row>
        <row r="277">
          <cell r="A277" t="str">
            <v>Residential_Building Shell_Wall Insulation (Fossil Fuel Heat)_HDD_1 (Rockford)</v>
          </cell>
          <cell r="G277">
            <v>5230</v>
          </cell>
        </row>
        <row r="278">
          <cell r="A278" t="str">
            <v>Residential_Building Shell_Wall Insulation (Fossil Fuel Heat)_HDD_2 (Chicago)</v>
          </cell>
          <cell r="G278">
            <v>4798</v>
          </cell>
        </row>
        <row r="279">
          <cell r="A279" t="str">
            <v>Residential_Building Shell_Wall Insulation (Fossil Fuel Heat)_HDD_3 (Springfield)</v>
          </cell>
          <cell r="G279">
            <v>4266</v>
          </cell>
        </row>
        <row r="280">
          <cell r="A280" t="str">
            <v>Residential_Building Shell_Wall Insulation (Fossil Fuel Heat)_HDD_4 (Belleville)</v>
          </cell>
          <cell r="G280">
            <v>3188</v>
          </cell>
        </row>
        <row r="281">
          <cell r="A281" t="str">
            <v>Residential_Building Shell_Wall Insulation (Fossil Fuel Heat)_HDD_5 (Marion)</v>
          </cell>
          <cell r="G281">
            <v>3390</v>
          </cell>
        </row>
        <row r="282">
          <cell r="A282" t="str">
            <v>Residential_Building Shell_Wall Insulation (Fossil Fuel Heat)_FLH_cooling_1 (Rockford)</v>
          </cell>
          <cell r="G282">
            <v>547</v>
          </cell>
        </row>
        <row r="283">
          <cell r="A283" t="str">
            <v>Residential_Building Shell_Wall Insulation (Fossil Fuel Heat)_FLH_cooling_2 (Chicago)</v>
          </cell>
          <cell r="G283">
            <v>709</v>
          </cell>
        </row>
        <row r="284">
          <cell r="A284" t="str">
            <v>Residential_Building Shell_Wall Insulation (Fossil Fuel Heat)_FLH_cooling_3 (Springfield)</v>
          </cell>
          <cell r="G284">
            <v>779</v>
          </cell>
        </row>
        <row r="285">
          <cell r="A285" t="str">
            <v>Residential_Building Shell_Wall Insulation (Fossil Fuel Heat)_FLH_cooling_4 (Belleville)</v>
          </cell>
          <cell r="G285">
            <v>1082</v>
          </cell>
        </row>
        <row r="286">
          <cell r="A286" t="str">
            <v>Residential_Building Shell_Wall Insulation (Fossil Fuel Heat)_FLH_cooling_5 (Marion)</v>
          </cell>
          <cell r="G286">
            <v>956</v>
          </cell>
        </row>
        <row r="287">
          <cell r="A287" t="str">
            <v>Residential_Building Shell_Wall Insulation (Electric Heat)_CDD_1 (Rockford)</v>
          </cell>
          <cell r="G287">
            <v>877</v>
          </cell>
        </row>
        <row r="288">
          <cell r="A288" t="str">
            <v>Residential_Building Shell_Wall Insulation (Electric Heat)_CDD_2 (Chicago)</v>
          </cell>
          <cell r="G288">
            <v>1047</v>
          </cell>
        </row>
        <row r="289">
          <cell r="A289" t="str">
            <v>Residential_Building Shell_Wall Insulation (Electric Heat)_CDD_3 (Springfield)</v>
          </cell>
          <cell r="G289">
            <v>1183</v>
          </cell>
        </row>
        <row r="290">
          <cell r="A290" t="str">
            <v>Residential_Building Shell_Wall Insulation (Electric Heat)_CDD_4 (Belleville)</v>
          </cell>
          <cell r="G290">
            <v>1641</v>
          </cell>
        </row>
        <row r="291">
          <cell r="A291" t="str">
            <v>Residential_Building Shell_Wall Insulation (Electric Heat)_CDD_5 (Marion)</v>
          </cell>
          <cell r="G291">
            <v>1450</v>
          </cell>
        </row>
        <row r="292">
          <cell r="A292" t="str">
            <v>Residential_Building Shell_Wall Insulation (Electric Heat)_HDD_1 (Rockford)</v>
          </cell>
          <cell r="G292">
            <v>5230</v>
          </cell>
        </row>
        <row r="293">
          <cell r="A293" t="str">
            <v>Residential_Building Shell_Wall Insulation (Electric Heat)_HDD_2 (Chicago)</v>
          </cell>
          <cell r="G293">
            <v>4798</v>
          </cell>
        </row>
        <row r="294">
          <cell r="A294" t="str">
            <v>Residential_Building Shell_Wall Insulation (Electric Heat)_HDD_3 (Springfield)</v>
          </cell>
          <cell r="G294">
            <v>4266</v>
          </cell>
        </row>
        <row r="295">
          <cell r="A295" t="str">
            <v>Residential_Building Shell_Wall Insulation (Electric Heat)_HDD_4 (Belleville)</v>
          </cell>
          <cell r="G295">
            <v>3188</v>
          </cell>
        </row>
        <row r="296">
          <cell r="A296" t="str">
            <v>Residential_Building Shell_Wall Insulation (Electric Heat)_HDD_5 (Marion)</v>
          </cell>
          <cell r="G296">
            <v>3390</v>
          </cell>
        </row>
        <row r="297">
          <cell r="A297" t="str">
            <v>Residential_Building Shell_Wall Insulation (Electric Heat)_FLH_cooling_1 (Rockford)</v>
          </cell>
          <cell r="G297">
            <v>547</v>
          </cell>
        </row>
        <row r="298">
          <cell r="A298" t="str">
            <v>Residential_Building Shell_Wall Insulation (Electric Heat)_FLH_cooling_2 (Chicago)</v>
          </cell>
          <cell r="G298">
            <v>709</v>
          </cell>
        </row>
        <row r="299">
          <cell r="A299" t="str">
            <v>Residential_Building Shell_Wall Insulation (Electric Heat)_FLH_cooling_3 (Springfield)</v>
          </cell>
          <cell r="G299">
            <v>779</v>
          </cell>
        </row>
        <row r="300">
          <cell r="A300" t="str">
            <v>Residential_Building Shell_Wall Insulation (Electric Heat)_FLH_cooling_4 (Belleville)</v>
          </cell>
          <cell r="G300">
            <v>1082</v>
          </cell>
        </row>
        <row r="301">
          <cell r="A301" t="str">
            <v>Residential_Building Shell_Wall Insulation (Electric Heat)_FLH_cooling_5 (Marion)</v>
          </cell>
          <cell r="G301">
            <v>956</v>
          </cell>
        </row>
        <row r="302">
          <cell r="A302" t="str">
            <v>Residential_Building Shell_Rim/Band Joist Insulation (Fossil Fuel Heat)_CDD_1 (Rockford)</v>
          </cell>
          <cell r="G302">
            <v>326</v>
          </cell>
        </row>
        <row r="303">
          <cell r="A303" t="str">
            <v>Residential_Building Shell_Rim/Band Joist Insulation (Fossil Fuel Heat)_CDD_2 (Chicago)</v>
          </cell>
          <cell r="G303">
            <v>354</v>
          </cell>
        </row>
        <row r="304">
          <cell r="A304" t="str">
            <v>Residential_Building Shell_Rim/Band Joist Insulation (Fossil Fuel Heat)_CDD_3 (Springfield)</v>
          </cell>
          <cell r="G304">
            <v>448</v>
          </cell>
        </row>
        <row r="305">
          <cell r="A305" t="str">
            <v>Residential_Building Shell_Rim/Band Joist Insulation (Fossil Fuel Heat)_CDD_4 (Belleville)</v>
          </cell>
          <cell r="G305">
            <v>532</v>
          </cell>
        </row>
        <row r="306">
          <cell r="A306" t="str">
            <v>Residential_Building Shell_Rim/Band Joist Insulation (Fossil Fuel Heat)_CDD_5 (Marion)</v>
          </cell>
          <cell r="G306">
            <v>516</v>
          </cell>
        </row>
        <row r="307">
          <cell r="A307" t="str">
            <v>Residential_Building Shell_Rim/Band Joist Insulation (Fossil Fuel Heat)_HDD_1 (Rockford)</v>
          </cell>
          <cell r="G307">
            <v>3233</v>
          </cell>
        </row>
        <row r="308">
          <cell r="A308" t="str">
            <v>Residential_Building Shell_Rim/Band Joist Insulation (Fossil Fuel Heat)_HDD_2 (Chicago)</v>
          </cell>
          <cell r="G308">
            <v>2845</v>
          </cell>
        </row>
        <row r="309">
          <cell r="A309" t="str">
            <v>Residential_Building Shell_Rim/Band Joist Insulation (Fossil Fuel Heat)_HDD_3 (Springfield)</v>
          </cell>
          <cell r="G309">
            <v>2456</v>
          </cell>
        </row>
        <row r="310">
          <cell r="A310" t="str">
            <v>Residential_Building Shell_Rim/Band Joist Insulation (Fossil Fuel Heat)_HDD_4 (Belleville)</v>
          </cell>
          <cell r="G310">
            <v>1651</v>
          </cell>
        </row>
        <row r="311">
          <cell r="A311" t="str">
            <v>Residential_Building Shell_Rim/Band Joist Insulation (Fossil Fuel Heat)_HDD_5 (Marion)</v>
          </cell>
          <cell r="G311">
            <v>1750</v>
          </cell>
        </row>
        <row r="312">
          <cell r="A312" t="str">
            <v>Residential_Building Shell_Rim/Band Joist Insulation (Fossil Fuel Heat)_FLH_cooling_1 (Rockford)</v>
          </cell>
          <cell r="G312">
            <v>547</v>
          </cell>
        </row>
        <row r="313">
          <cell r="A313" t="str">
            <v>Residential_Building Shell_Rim/Band Joist Insulation (Fossil Fuel Heat)_FLH_cooling_2 (Chicago)</v>
          </cell>
          <cell r="G313">
            <v>709</v>
          </cell>
        </row>
        <row r="314">
          <cell r="A314" t="str">
            <v>Residential_Building Shell_Rim/Band Joist Insulation (Fossil Fuel Heat)_FLH_cooling_3 (Springfield)</v>
          </cell>
          <cell r="G314">
            <v>779</v>
          </cell>
        </row>
        <row r="315">
          <cell r="A315" t="str">
            <v>Residential_Building Shell_Rim/Band Joist Insulation (Fossil Fuel Heat)_FLH_cooling_4 (Belleville)</v>
          </cell>
          <cell r="G315">
            <v>1082</v>
          </cell>
        </row>
        <row r="316">
          <cell r="A316" t="str">
            <v>Residential_Building Shell_Rim/Band Joist Insulation (Fossil Fuel Heat)_FLH_cooling_5 (Marion)</v>
          </cell>
          <cell r="G316">
            <v>956</v>
          </cell>
        </row>
        <row r="317">
          <cell r="A317" t="str">
            <v>Residential_Building Shell_Rim/Band Joist Insulation (Electric Heat)_CDD_1 (Rockford)</v>
          </cell>
          <cell r="G317">
            <v>326</v>
          </cell>
        </row>
        <row r="318">
          <cell r="A318" t="str">
            <v>Residential_Building Shell_Rim/Band Joist Insulation (Electric Heat)_CDD_2 (Chicago)</v>
          </cell>
          <cell r="G318">
            <v>354</v>
          </cell>
        </row>
        <row r="319">
          <cell r="A319" t="str">
            <v>Residential_Building Shell_Rim/Band Joist Insulation (Electric Heat)_CDD_3 (Springfield)</v>
          </cell>
          <cell r="G319">
            <v>448</v>
          </cell>
        </row>
        <row r="320">
          <cell r="A320" t="str">
            <v>Residential_Building Shell_Rim/Band Joist Insulation (Electric Heat)_CDD_4 (Belleville)</v>
          </cell>
          <cell r="G320">
            <v>532</v>
          </cell>
        </row>
        <row r="321">
          <cell r="A321" t="str">
            <v>Residential_Building Shell_Rim/Band Joist Insulation (Electric Heat)_CDD_5 (Marion)</v>
          </cell>
          <cell r="G321">
            <v>516</v>
          </cell>
        </row>
        <row r="322">
          <cell r="A322" t="str">
            <v>Residential_Building Shell_Rim/Band Joist Insulation (Electric Heat)_HDD_1 (Rockford)</v>
          </cell>
          <cell r="G322">
            <v>3233</v>
          </cell>
        </row>
        <row r="323">
          <cell r="A323" t="str">
            <v>Residential_Building Shell_Rim/Band Joist Insulation (Electric Heat)_HDD_2 (Chicago)</v>
          </cell>
          <cell r="G323">
            <v>2845</v>
          </cell>
        </row>
        <row r="324">
          <cell r="A324" t="str">
            <v>Residential_Building Shell_Rim/Band Joist Insulation (Electric Heat)_HDD_3 (Springfield)</v>
          </cell>
          <cell r="G324">
            <v>2456</v>
          </cell>
        </row>
        <row r="325">
          <cell r="A325" t="str">
            <v>Residential_Building Shell_Rim/Band Joist Insulation (Electric Heat)_HDD_4 (Belleville)</v>
          </cell>
          <cell r="G325">
            <v>1651</v>
          </cell>
        </row>
        <row r="326">
          <cell r="A326" t="str">
            <v>Residential_Building Shell_Rim/Band Joist Insulation (Electric Heat)_HDD_5 (Marion)</v>
          </cell>
          <cell r="G326">
            <v>1750</v>
          </cell>
        </row>
        <row r="327">
          <cell r="A327" t="str">
            <v>Residential_Building Shell_Rim/Band Joist Insulation (Electric Heat)_FLH_cooling_1 (Rockford)</v>
          </cell>
          <cell r="G327">
            <v>547</v>
          </cell>
        </row>
        <row r="328">
          <cell r="A328" t="str">
            <v>Residential_Building Shell_Rim/Band Joist Insulation (Electric Heat)_FLH_cooling_2 (Chicago)</v>
          </cell>
          <cell r="G328">
            <v>709</v>
          </cell>
        </row>
        <row r="329">
          <cell r="A329" t="str">
            <v>Residential_Building Shell_Rim/Band Joist Insulation (Electric Heat)_FLH_cooling_3 (Springfield)</v>
          </cell>
          <cell r="G329">
            <v>779</v>
          </cell>
        </row>
        <row r="330">
          <cell r="A330" t="str">
            <v>Residential_Building Shell_Rim/Band Joist Insulation (Electric Heat)_FLH_cooling_4 (Belleville)</v>
          </cell>
          <cell r="G330">
            <v>1082</v>
          </cell>
        </row>
        <row r="331">
          <cell r="A331" t="str">
            <v>Residential_Building Shell_Rim/Band Joist Insulation (Electric Heat)_FLH_cooling_5 (Marion)</v>
          </cell>
          <cell r="G331">
            <v>956</v>
          </cell>
        </row>
        <row r="332">
          <cell r="A332" t="str">
            <v>Residential_Building Shell_Basement Sidewall Insulation (Fossil Fuel Heat)_CDD_1 (Rockford)</v>
          </cell>
          <cell r="G332">
            <v>326</v>
          </cell>
        </row>
        <row r="333">
          <cell r="A333" t="str">
            <v>Residential_Building Shell_Basement Sidewall Insulation (Fossil Fuel Heat)_CDD_2 (Chicago)</v>
          </cell>
          <cell r="G333">
            <v>354</v>
          </cell>
        </row>
        <row r="334">
          <cell r="A334" t="str">
            <v>Residential_Building Shell_Basement Sidewall Insulation (Fossil Fuel Heat)_CDD_3 (Springfield)</v>
          </cell>
          <cell r="G334">
            <v>448</v>
          </cell>
        </row>
        <row r="335">
          <cell r="A335" t="str">
            <v>Residential_Building Shell_Basement Sidewall Insulation (Fossil Fuel Heat)_CDD_4 (Belleville)</v>
          </cell>
          <cell r="G335">
            <v>532</v>
          </cell>
        </row>
        <row r="336">
          <cell r="A336" t="str">
            <v>Residential_Building Shell_Basement Sidewall Insulation (Fossil Fuel Heat)_CDD_5 (Marion)</v>
          </cell>
          <cell r="G336">
            <v>516</v>
          </cell>
        </row>
        <row r="337">
          <cell r="A337" t="str">
            <v>Residential_Building Shell_Basement Sidewall Insulation (Fossil Fuel Heat)_HDD_1 (Rockford)</v>
          </cell>
          <cell r="G337">
            <v>3233</v>
          </cell>
        </row>
        <row r="338">
          <cell r="A338" t="str">
            <v>Residential_Building Shell_Basement Sidewall Insulation (Fossil Fuel Heat)_HDD_2 (Chicago)</v>
          </cell>
          <cell r="G338">
            <v>2845</v>
          </cell>
        </row>
        <row r="339">
          <cell r="A339" t="str">
            <v>Residential_Building Shell_Basement Sidewall Insulation (Fossil Fuel Heat)_HDD_3 (Springfield)</v>
          </cell>
          <cell r="G339">
            <v>2456</v>
          </cell>
        </row>
        <row r="340">
          <cell r="A340" t="str">
            <v>Residential_Building Shell_Basement Sidewall Insulation (Fossil Fuel Heat)_HDD_4 (Belleville)</v>
          </cell>
          <cell r="G340">
            <v>1651</v>
          </cell>
        </row>
        <row r="341">
          <cell r="A341" t="str">
            <v>Residential_Building Shell_Basement Sidewall Insulation (Fossil Fuel Heat)_HDD_5 (Marion)</v>
          </cell>
          <cell r="G341">
            <v>1750</v>
          </cell>
        </row>
        <row r="342">
          <cell r="A342" t="str">
            <v>Residential_Building Shell_Basement Sidewall Insulation (Fossil Fuel Heat)_FLH_cooling_1 (Rockford)</v>
          </cell>
          <cell r="G342">
            <v>547</v>
          </cell>
        </row>
        <row r="343">
          <cell r="A343" t="str">
            <v>Residential_Building Shell_Basement Sidewall Insulation (Fossil Fuel Heat)_FLH_cooling_2 (Chicago)</v>
          </cell>
          <cell r="G343">
            <v>709</v>
          </cell>
        </row>
        <row r="344">
          <cell r="A344" t="str">
            <v>Residential_Building Shell_Basement Sidewall Insulation (Fossil Fuel Heat)_FLH_cooling_3 (Springfield)</v>
          </cell>
          <cell r="G344">
            <v>779</v>
          </cell>
        </row>
        <row r="345">
          <cell r="A345" t="str">
            <v>Residential_Building Shell_Basement Sidewall Insulation (Fossil Fuel Heat)_FLH_cooling_4 (Belleville)</v>
          </cell>
          <cell r="G345">
            <v>1082</v>
          </cell>
        </row>
        <row r="346">
          <cell r="A346" t="str">
            <v>Residential_Building Shell_Basement Sidewall Insulation (Fossil Fuel Heat)_FLH_cooling_5 (Marion)</v>
          </cell>
          <cell r="G346">
            <v>956</v>
          </cell>
        </row>
        <row r="347">
          <cell r="A347" t="str">
            <v>Residential_Building Shell_Basement Sidewall Insulation (Electric Heat)_CDD_1 (Rockford)</v>
          </cell>
          <cell r="G347">
            <v>326</v>
          </cell>
        </row>
        <row r="348">
          <cell r="A348" t="str">
            <v>Residential_Building Shell_Basement Sidewall Insulation (Electric Heat)_CDD_2 (Chicago)</v>
          </cell>
          <cell r="G348">
            <v>354</v>
          </cell>
        </row>
        <row r="349">
          <cell r="A349" t="str">
            <v>Residential_Building Shell_Basement Sidewall Insulation (Electric Heat)_CDD_3 (Springfield)</v>
          </cell>
          <cell r="G349">
            <v>448</v>
          </cell>
        </row>
        <row r="350">
          <cell r="A350" t="str">
            <v>Residential_Building Shell_Basement Sidewall Insulation (Electric Heat)_CDD_4 (Belleville)</v>
          </cell>
          <cell r="G350">
            <v>532</v>
          </cell>
        </row>
        <row r="351">
          <cell r="A351" t="str">
            <v>Residential_Building Shell_Basement Sidewall Insulation (Electric Heat)_CDD_5 (Marion)</v>
          </cell>
          <cell r="G351">
            <v>516</v>
          </cell>
        </row>
        <row r="352">
          <cell r="A352" t="str">
            <v>Residential_Building Shell_Basement Sidewall Insulation (Electric Heat)_HDD_1 (Rockford)</v>
          </cell>
          <cell r="G352">
            <v>3233</v>
          </cell>
        </row>
        <row r="353">
          <cell r="A353" t="str">
            <v>Residential_Building Shell_Basement Sidewall Insulation (Electric Heat)_HDD_2 (Chicago)</v>
          </cell>
          <cell r="G353">
            <v>2845</v>
          </cell>
        </row>
        <row r="354">
          <cell r="A354" t="str">
            <v>Residential_Building Shell_Basement Sidewall Insulation (Electric Heat)_HDD_3 (Springfield)</v>
          </cell>
          <cell r="G354">
            <v>2456</v>
          </cell>
        </row>
        <row r="355">
          <cell r="A355" t="str">
            <v>Residential_Building Shell_Basement Sidewall Insulation (Electric Heat)_HDD_4 (Belleville)</v>
          </cell>
          <cell r="G355">
            <v>1651</v>
          </cell>
        </row>
        <row r="356">
          <cell r="A356" t="str">
            <v>Residential_Building Shell_Basement Sidewall Insulation (Electric Heat)_HDD_5 (Marion)</v>
          </cell>
          <cell r="G356">
            <v>1750</v>
          </cell>
        </row>
        <row r="357">
          <cell r="A357" t="str">
            <v>Residential_Building Shell_Basement Sidewall Insulation (Electric Heat)_FLH_cooling_1 (Rockford)</v>
          </cell>
          <cell r="G357">
            <v>547</v>
          </cell>
        </row>
        <row r="358">
          <cell r="A358" t="str">
            <v>Residential_Building Shell_Basement Sidewall Insulation (Electric Heat)_FLH_cooling_2 (Chicago)</v>
          </cell>
          <cell r="G358">
            <v>709</v>
          </cell>
        </row>
        <row r="359">
          <cell r="A359" t="str">
            <v>Residential_Building Shell_Basement Sidewall Insulation (Electric Heat)_FLH_cooling_3 (Springfield)</v>
          </cell>
          <cell r="G359">
            <v>779</v>
          </cell>
        </row>
        <row r="360">
          <cell r="A360" t="str">
            <v>Residential_Building Shell_Basement Sidewall Insulation (Electric Heat)_FLH_cooling_4 (Belleville)</v>
          </cell>
          <cell r="G360">
            <v>1082</v>
          </cell>
        </row>
        <row r="361">
          <cell r="A361" t="str">
            <v>Residential_Building Shell_Basement Sidewall Insulation (Electric Heat)_FLH_cooling_5 (Marion)</v>
          </cell>
          <cell r="G361">
            <v>956</v>
          </cell>
        </row>
        <row r="362">
          <cell r="A362" t="str">
            <v>Residential_HVAC_Ground Source Heat Pump_FLH_GSHPheat_1 (Rockford)</v>
          </cell>
          <cell r="G362">
            <v>1924</v>
          </cell>
        </row>
        <row r="363">
          <cell r="A363" t="str">
            <v>Residential_HVAC_Ground Source Heat Pump_FLH_GSHPheat_2 (Chicago)</v>
          </cell>
          <cell r="G363">
            <v>1726</v>
          </cell>
        </row>
        <row r="364">
          <cell r="A364" t="str">
            <v>Residential_HVAC_Ground Source Heat Pump_FLH_GSHPheat_3 (Springfield)</v>
          </cell>
          <cell r="G364">
            <v>1708</v>
          </cell>
        </row>
        <row r="365">
          <cell r="A365" t="str">
            <v>Residential_HVAC_Ground Source Heat Pump_FLH_GSHPheat_4 (Belleville)</v>
          </cell>
          <cell r="G365">
            <v>1195</v>
          </cell>
        </row>
        <row r="366">
          <cell r="A366" t="str">
            <v>Residential_HVAC_Ground Source Heat Pump_FLH_GSHPheat_5 (Marion)</v>
          </cell>
          <cell r="G366">
            <v>1270</v>
          </cell>
        </row>
        <row r="367">
          <cell r="A367" t="str">
            <v>Residential_HVAC_Ground Source Heat Pump_FLH_GSHPheat_Weighted Average</v>
          </cell>
          <cell r="G367">
            <v>1547</v>
          </cell>
        </row>
        <row r="368">
          <cell r="A368" t="str">
            <v>Residential_HVAC_Ground Source Heat Pump_FLHcool_1 (Rockford)</v>
          </cell>
          <cell r="G368">
            <v>547</v>
          </cell>
        </row>
        <row r="369">
          <cell r="A369" t="str">
            <v>Residential_HVAC_Ground Source Heat Pump_FLHcool_2 (Chicago)</v>
          </cell>
          <cell r="G369">
            <v>709</v>
          </cell>
        </row>
        <row r="370">
          <cell r="A370" t="str">
            <v>Residential_HVAC_Ground Source Heat Pump_FLHcool_3 (Springfield)</v>
          </cell>
          <cell r="G370">
            <v>779</v>
          </cell>
        </row>
        <row r="371">
          <cell r="A371" t="str">
            <v>Residential_HVAC_Ground Source Heat Pump_FLHcool_4 (Belleville)</v>
          </cell>
          <cell r="G371">
            <v>1082</v>
          </cell>
        </row>
        <row r="372">
          <cell r="A372" t="str">
            <v>Residential_HVAC_Ground Source Heat Pump_FLHcool_5 (Marion)</v>
          </cell>
          <cell r="G372">
            <v>956</v>
          </cell>
        </row>
        <row r="373">
          <cell r="A373" t="str">
            <v>Residential_HVAC_Ground Source Heat Pump_FLHcool_Weighted Average</v>
          </cell>
          <cell r="G373">
            <v>875</v>
          </cell>
        </row>
        <row r="374">
          <cell r="A374" t="str">
            <v>Residential_HVAC_Air-Source Heat Pump_PD_Adj_1 (Rockford)</v>
          </cell>
          <cell r="G374">
            <v>1.37</v>
          </cell>
        </row>
        <row r="375">
          <cell r="A375" t="str">
            <v>Residential_HVAC_Air-Source Heat Pump_PD_Adj_2 (Chicago)</v>
          </cell>
          <cell r="G375">
            <v>1.37</v>
          </cell>
        </row>
        <row r="376">
          <cell r="A376" t="str">
            <v>Residential_HVAC_Air-Source Heat Pump_PD_Adj_3 (Springfield)</v>
          </cell>
          <cell r="G376">
            <v>1.36</v>
          </cell>
        </row>
        <row r="377">
          <cell r="A377" t="str">
            <v>Residential_HVAC_Air-Source Heat Pump_PD_Adj_4 (Belleville)</v>
          </cell>
          <cell r="G377">
            <v>1.38</v>
          </cell>
        </row>
        <row r="378">
          <cell r="A378" t="str">
            <v>Residential_HVAC_Air-Source Heat Pump_PD_Adj_5 (Marion)</v>
          </cell>
          <cell r="G378">
            <v>1.38</v>
          </cell>
        </row>
        <row r="379">
          <cell r="A379" t="str">
            <v>Residential_HVAC_Air-Source Heat Pump_PD_Adj_Weighted Average</v>
          </cell>
          <cell r="G379">
            <v>1.37</v>
          </cell>
        </row>
        <row r="380">
          <cell r="A380" t="str">
            <v>Residential_HVAC_Ductless Heat Pump_PD_Adj_1 (Rockford)</v>
          </cell>
          <cell r="G380">
            <v>1.37</v>
          </cell>
        </row>
        <row r="381">
          <cell r="A381" t="str">
            <v>Residential_HVAC_Ductless Heat Pump_PD_Adj_2 (Chicago)</v>
          </cell>
          <cell r="G381">
            <v>1.37</v>
          </cell>
        </row>
        <row r="382">
          <cell r="A382" t="str">
            <v>Residential_HVAC_Ductless Heat Pump_PD_Adj_3 (Springfield)</v>
          </cell>
          <cell r="G382">
            <v>1.36</v>
          </cell>
        </row>
        <row r="383">
          <cell r="A383" t="str">
            <v>Residential_HVAC_Ductless Heat Pump_PD_Adj_4 (Belleville)</v>
          </cell>
          <cell r="G383">
            <v>1.38</v>
          </cell>
        </row>
        <row r="384">
          <cell r="A384" t="str">
            <v>Residential_HVAC_Ductless Heat Pump_PD_Adj_5 (Marion)</v>
          </cell>
          <cell r="G384">
            <v>1.38</v>
          </cell>
        </row>
        <row r="385">
          <cell r="A385" t="str">
            <v>Residential_HVAC_Ductless Heat Pump_PD_Adj_Weighted Average</v>
          </cell>
          <cell r="G385">
            <v>1.37</v>
          </cell>
        </row>
      </sheetData>
      <sheetData sheetId="11" refreshError="1"/>
      <sheetData sheetId="12"/>
      <sheetData sheetId="13"/>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
      <sheetName val="Results"/>
      <sheetName val="Weighting Factors"/>
      <sheetName val="Results Bkgnd"/>
      <sheetName val="Lookups"/>
      <sheetName val="DmdModTable"/>
      <sheetName val="GasPAC"/>
      <sheetName val="HP"/>
      <sheetName val="PVAV"/>
      <sheetName val="SVAV"/>
      <sheetName val="WLHP"/>
      <sheetName val="ElecHeat"/>
      <sheetName val="GasFurn"/>
      <sheetName val="PSZElec"/>
      <sheetName val="PVAVElec"/>
      <sheetName val="SVAVElec"/>
      <sheetName val="Default WFs"/>
      <sheetName val="Drop Downs"/>
      <sheetName val="Drop down"/>
      <sheetName val="Unit definitions"/>
      <sheetName val="Support Tables"/>
    </sheetNames>
    <sheetDataSet>
      <sheetData sheetId="0" refreshError="1"/>
      <sheetData sheetId="1" refreshError="1">
        <row r="22">
          <cell r="B22" t="str">
            <v>Whole Utility</v>
          </cell>
          <cell r="C22" t="str">
            <v>(kWh/kWh)</v>
          </cell>
          <cell r="D22">
            <v>1.1063069862224075</v>
          </cell>
          <cell r="E22">
            <v>1.0238382881663963</v>
          </cell>
          <cell r="F22">
            <v>0</v>
          </cell>
          <cell r="G22">
            <v>0</v>
          </cell>
          <cell r="H22">
            <v>0</v>
          </cell>
          <cell r="I22">
            <v>0.83782582606498435</v>
          </cell>
          <cell r="J22">
            <v>0</v>
          </cell>
          <cell r="K22">
            <v>0</v>
          </cell>
          <cell r="L22">
            <v>0.7208998824747842</v>
          </cell>
          <cell r="M22">
            <v>1.0141451095417204</v>
          </cell>
        </row>
        <row r="23">
          <cell r="C23" t="str">
            <v>(kW/kW)</v>
          </cell>
          <cell r="D23">
            <v>1.2621800894777682</v>
          </cell>
          <cell r="E23">
            <v>1.2562612812480229</v>
          </cell>
          <cell r="F23">
            <v>0</v>
          </cell>
          <cell r="G23">
            <v>0</v>
          </cell>
          <cell r="H23">
            <v>0</v>
          </cell>
          <cell r="I23">
            <v>1.269881032367677</v>
          </cell>
          <cell r="J23">
            <v>0</v>
          </cell>
          <cell r="K23">
            <v>0</v>
          </cell>
          <cell r="L23">
            <v>1</v>
          </cell>
          <cell r="M23">
            <v>1.019788886792536</v>
          </cell>
        </row>
        <row r="24">
          <cell r="C24" t="str">
            <v>(therms/kWh)</v>
          </cell>
          <cell r="D24">
            <v>-1.3203258357579916E-2</v>
          </cell>
          <cell r="E24">
            <v>0</v>
          </cell>
          <cell r="F24">
            <v>0</v>
          </cell>
          <cell r="G24">
            <v>0</v>
          </cell>
          <cell r="H24">
            <v>0</v>
          </cell>
          <cell r="I24">
            <v>0</v>
          </cell>
          <cell r="J24">
            <v>0</v>
          </cell>
          <cell r="K24">
            <v>0</v>
          </cell>
          <cell r="L24">
            <v>0</v>
          </cell>
          <cell r="M24">
            <v>-1.3740101897599281E-2</v>
          </cell>
        </row>
        <row r="25">
          <cell r="B25" t="str">
            <v xml:space="preserve">Arcata Area (CZ01) </v>
          </cell>
          <cell r="C25" t="str">
            <v>(kWh/kWh)</v>
          </cell>
          <cell r="D25">
            <v>1.0565356965230366</v>
          </cell>
          <cell r="E25">
            <v>0.91532305466383324</v>
          </cell>
          <cell r="F25">
            <v>0</v>
          </cell>
          <cell r="G25">
            <v>0</v>
          </cell>
          <cell r="H25">
            <v>0</v>
          </cell>
          <cell r="I25">
            <v>0.6152534249672198</v>
          </cell>
          <cell r="J25">
            <v>0</v>
          </cell>
          <cell r="K25">
            <v>0</v>
          </cell>
          <cell r="L25">
            <v>0.50152281050775427</v>
          </cell>
          <cell r="M25">
            <v>1.0103540263145996</v>
          </cell>
        </row>
        <row r="26">
          <cell r="C26" t="str">
            <v>(kW/kW)</v>
          </cell>
          <cell r="D26">
            <v>1.176275706237691</v>
          </cell>
          <cell r="E26">
            <v>1.105313513045868</v>
          </cell>
          <cell r="F26">
            <v>0</v>
          </cell>
          <cell r="G26">
            <v>0</v>
          </cell>
          <cell r="H26">
            <v>0</v>
          </cell>
          <cell r="I26">
            <v>1.0682039094346538</v>
          </cell>
          <cell r="J26">
            <v>0</v>
          </cell>
          <cell r="K26">
            <v>0</v>
          </cell>
          <cell r="L26">
            <v>1</v>
          </cell>
          <cell r="M26">
            <v>1.0113995491071202</v>
          </cell>
        </row>
        <row r="27">
          <cell r="C27" t="str">
            <v>(therms/kWh)</v>
          </cell>
          <cell r="D27">
            <v>-2.1300357191300811E-2</v>
          </cell>
          <cell r="E27">
            <v>0</v>
          </cell>
          <cell r="F27">
            <v>0</v>
          </cell>
          <cell r="G27">
            <v>0</v>
          </cell>
          <cell r="H27">
            <v>0</v>
          </cell>
          <cell r="I27">
            <v>0</v>
          </cell>
          <cell r="J27">
            <v>0</v>
          </cell>
          <cell r="K27">
            <v>0</v>
          </cell>
          <cell r="L27">
            <v>0</v>
          </cell>
          <cell r="M27">
            <v>-2.2092508025500744E-2</v>
          </cell>
        </row>
        <row r="28">
          <cell r="B28" t="str">
            <v xml:space="preserve">Santa Rosa Area (CZ02) </v>
          </cell>
          <cell r="C28" t="str">
            <v>(kWh/kWh)</v>
          </cell>
          <cell r="D28">
            <v>1.085942939820048</v>
          </cell>
          <cell r="E28">
            <v>0.99790206628385403</v>
          </cell>
          <cell r="F28">
            <v>0</v>
          </cell>
          <cell r="G28">
            <v>0</v>
          </cell>
          <cell r="H28">
            <v>0</v>
          </cell>
          <cell r="I28">
            <v>0.78131663426323639</v>
          </cell>
          <cell r="J28">
            <v>0</v>
          </cell>
          <cell r="K28">
            <v>0</v>
          </cell>
          <cell r="L28">
            <v>0.69560338201383554</v>
          </cell>
          <cell r="M28">
            <v>1.0122891893113894</v>
          </cell>
        </row>
        <row r="29">
          <cell r="C29" t="str">
            <v>(kW/kW)</v>
          </cell>
          <cell r="D29">
            <v>1.2562099552669479</v>
          </cell>
          <cell r="E29">
            <v>1.2551717820446926</v>
          </cell>
          <cell r="F29">
            <v>0</v>
          </cell>
          <cell r="G29">
            <v>0</v>
          </cell>
          <cell r="H29">
            <v>0</v>
          </cell>
          <cell r="I29">
            <v>1.2599656995709902</v>
          </cell>
          <cell r="J29">
            <v>0</v>
          </cell>
          <cell r="K29">
            <v>0</v>
          </cell>
          <cell r="L29">
            <v>1</v>
          </cell>
          <cell r="M29">
            <v>1.0174097578104724</v>
          </cell>
        </row>
        <row r="30">
          <cell r="C30" t="str">
            <v>(therms/kWh)</v>
          </cell>
          <cell r="D30">
            <v>-1.3686304652529728E-2</v>
          </cell>
          <cell r="E30">
            <v>0</v>
          </cell>
          <cell r="F30">
            <v>0</v>
          </cell>
          <cell r="G30">
            <v>0</v>
          </cell>
          <cell r="H30">
            <v>0</v>
          </cell>
          <cell r="I30">
            <v>0</v>
          </cell>
          <cell r="J30">
            <v>0</v>
          </cell>
          <cell r="K30">
            <v>0</v>
          </cell>
          <cell r="L30">
            <v>0</v>
          </cell>
          <cell r="M30">
            <v>-1.4665641813989239E-2</v>
          </cell>
        </row>
        <row r="31">
          <cell r="B31" t="str">
            <v xml:space="preserve">Oakland Area (CZ03) </v>
          </cell>
          <cell r="C31" t="str">
            <v>(kWh/kWh)</v>
          </cell>
          <cell r="D31">
            <v>1.0895962381878193</v>
          </cell>
          <cell r="E31">
            <v>0.99790206628385403</v>
          </cell>
          <cell r="F31">
            <v>0</v>
          </cell>
          <cell r="G31">
            <v>0</v>
          </cell>
          <cell r="H31">
            <v>0</v>
          </cell>
          <cell r="I31">
            <v>0.79992856173983817</v>
          </cell>
          <cell r="J31">
            <v>0</v>
          </cell>
          <cell r="K31">
            <v>0</v>
          </cell>
          <cell r="L31">
            <v>0.71335172039607542</v>
          </cell>
          <cell r="M31">
            <v>1.010616268029118</v>
          </cell>
        </row>
        <row r="32">
          <cell r="C32" t="str">
            <v>(kW/kW)</v>
          </cell>
          <cell r="D32">
            <v>1.2432633244952902</v>
          </cell>
          <cell r="E32">
            <v>1.2870447177848234</v>
          </cell>
          <cell r="F32">
            <v>0</v>
          </cell>
          <cell r="G32">
            <v>0</v>
          </cell>
          <cell r="H32">
            <v>0</v>
          </cell>
          <cell r="I32">
            <v>1.2500216286087971</v>
          </cell>
          <cell r="J32">
            <v>0</v>
          </cell>
          <cell r="K32">
            <v>0</v>
          </cell>
          <cell r="L32">
            <v>1</v>
          </cell>
          <cell r="M32">
            <v>1.0116947160036438</v>
          </cell>
        </row>
        <row r="33">
          <cell r="C33" t="str">
            <v>(therms/kWh)</v>
          </cell>
          <cell r="D33">
            <v>-1.4344621784147939E-2</v>
          </cell>
          <cell r="E33">
            <v>0</v>
          </cell>
          <cell r="F33">
            <v>0</v>
          </cell>
          <cell r="G33">
            <v>0</v>
          </cell>
          <cell r="H33">
            <v>0</v>
          </cell>
          <cell r="I33">
            <v>0</v>
          </cell>
          <cell r="J33">
            <v>0</v>
          </cell>
          <cell r="K33">
            <v>0</v>
          </cell>
          <cell r="L33">
            <v>0</v>
          </cell>
          <cell r="M33">
            <v>-1.4917936428991274E-2</v>
          </cell>
        </row>
        <row r="34">
          <cell r="B34" t="str">
            <v xml:space="preserve">Sunnyvale Area (CZ04) </v>
          </cell>
          <cell r="C34" t="str">
            <v>(kWh/kWh)</v>
          </cell>
          <cell r="D34">
            <v>1.1082877424605506</v>
          </cell>
          <cell r="E34">
            <v>1.0464981688294073</v>
          </cell>
          <cell r="F34">
            <v>0</v>
          </cell>
          <cell r="G34">
            <v>0</v>
          </cell>
          <cell r="H34">
            <v>0</v>
          </cell>
          <cell r="I34">
            <v>0.86272098385857032</v>
          </cell>
          <cell r="J34">
            <v>0</v>
          </cell>
          <cell r="K34">
            <v>0</v>
          </cell>
          <cell r="L34">
            <v>0.75522810507754212</v>
          </cell>
          <cell r="M34">
            <v>1.0118370484242889</v>
          </cell>
        </row>
        <row r="35">
          <cell r="C35" t="str">
            <v>(kW/kW)</v>
          </cell>
          <cell r="D35">
            <v>1.2742863831368099</v>
          </cell>
          <cell r="E35">
            <v>1.2803525717688131</v>
          </cell>
          <cell r="F35">
            <v>0</v>
          </cell>
          <cell r="G35">
            <v>0</v>
          </cell>
          <cell r="H35">
            <v>0</v>
          </cell>
          <cell r="I35">
            <v>1.2797978615667256</v>
          </cell>
          <cell r="J35">
            <v>0</v>
          </cell>
          <cell r="K35">
            <v>0</v>
          </cell>
          <cell r="L35">
            <v>1</v>
          </cell>
          <cell r="M35">
            <v>1.0172112835179823</v>
          </cell>
        </row>
        <row r="36">
          <cell r="C36" t="str">
            <v>(therms/kWh)</v>
          </cell>
          <cell r="D36">
            <v>-1.2383234615906317E-2</v>
          </cell>
          <cell r="E36">
            <v>0</v>
          </cell>
          <cell r="F36">
            <v>0</v>
          </cell>
          <cell r="G36">
            <v>0</v>
          </cell>
          <cell r="H36">
            <v>0</v>
          </cell>
          <cell r="I36">
            <v>0</v>
          </cell>
          <cell r="J36">
            <v>0</v>
          </cell>
          <cell r="K36">
            <v>0</v>
          </cell>
          <cell r="L36">
            <v>0</v>
          </cell>
          <cell r="M36">
            <v>-1.3210652439300087E-2</v>
          </cell>
        </row>
        <row r="37">
          <cell r="B37" t="str">
            <v xml:space="preserve">Santa Maria Area (CZ05) </v>
          </cell>
          <cell r="C37" t="str">
            <v>(kWh/kWh)</v>
          </cell>
          <cell r="D37">
            <v>1.1076637880363522</v>
          </cell>
          <cell r="E37">
            <v>1.0230863136953474</v>
          </cell>
          <cell r="F37">
            <v>0</v>
          </cell>
          <cell r="G37">
            <v>0</v>
          </cell>
          <cell r="H37">
            <v>0</v>
          </cell>
          <cell r="I37">
            <v>0.89482841253334544</v>
          </cell>
          <cell r="J37">
            <v>0</v>
          </cell>
          <cell r="K37">
            <v>0</v>
          </cell>
          <cell r="L37">
            <v>0.76279423068228069</v>
          </cell>
          <cell r="M37">
            <v>1.010833295654926</v>
          </cell>
        </row>
        <row r="38">
          <cell r="C38" t="str">
            <v>(kW/kW)</v>
          </cell>
          <cell r="D38">
            <v>1.2217873882309833</v>
          </cell>
          <cell r="E38">
            <v>1.22062707698258</v>
          </cell>
          <cell r="F38">
            <v>0</v>
          </cell>
          <cell r="G38">
            <v>0</v>
          </cell>
          <cell r="H38">
            <v>0</v>
          </cell>
          <cell r="I38">
            <v>1.2238077547468436</v>
          </cell>
          <cell r="J38">
            <v>0</v>
          </cell>
          <cell r="K38">
            <v>0</v>
          </cell>
          <cell r="L38">
            <v>1</v>
          </cell>
          <cell r="M38">
            <v>1.0119339029715164</v>
          </cell>
        </row>
        <row r="39">
          <cell r="C39" t="str">
            <v>(therms/kWh)</v>
          </cell>
          <cell r="D39">
            <v>-1.1213998281864628E-2</v>
          </cell>
          <cell r="E39">
            <v>0</v>
          </cell>
          <cell r="F39">
            <v>0</v>
          </cell>
          <cell r="G39">
            <v>0</v>
          </cell>
          <cell r="H39">
            <v>0</v>
          </cell>
          <cell r="I39">
            <v>0</v>
          </cell>
          <cell r="J39">
            <v>0</v>
          </cell>
          <cell r="K39">
            <v>0</v>
          </cell>
          <cell r="L39">
            <v>0</v>
          </cell>
          <cell r="M39">
            <v>-1.2030564723967989E-2</v>
          </cell>
        </row>
        <row r="40">
          <cell r="B40" t="str">
            <v xml:space="preserve">Los Angeles Area (CZ06) </v>
          </cell>
          <cell r="C40" t="str">
            <v>(kWh/kWh)</v>
          </cell>
          <cell r="D40">
            <v>0</v>
          </cell>
          <cell r="E40">
            <v>0</v>
          </cell>
          <cell r="F40">
            <v>0</v>
          </cell>
          <cell r="G40">
            <v>0</v>
          </cell>
          <cell r="H40">
            <v>0</v>
          </cell>
          <cell r="I40">
            <v>0</v>
          </cell>
          <cell r="J40">
            <v>0</v>
          </cell>
          <cell r="K40">
            <v>0</v>
          </cell>
          <cell r="L40">
            <v>0</v>
          </cell>
          <cell r="M40">
            <v>0</v>
          </cell>
        </row>
        <row r="41">
          <cell r="C41" t="str">
            <v>(kW/kW)</v>
          </cell>
          <cell r="D41">
            <v>0</v>
          </cell>
          <cell r="E41">
            <v>0</v>
          </cell>
          <cell r="F41">
            <v>0</v>
          </cell>
          <cell r="G41">
            <v>0</v>
          </cell>
          <cell r="H41">
            <v>0</v>
          </cell>
          <cell r="I41">
            <v>0</v>
          </cell>
          <cell r="J41">
            <v>0</v>
          </cell>
          <cell r="K41">
            <v>0</v>
          </cell>
          <cell r="L41">
            <v>0</v>
          </cell>
          <cell r="M41">
            <v>0</v>
          </cell>
        </row>
        <row r="42">
          <cell r="C42" t="str">
            <v>(therms/kWh)</v>
          </cell>
          <cell r="D42">
            <v>0</v>
          </cell>
          <cell r="E42">
            <v>0</v>
          </cell>
          <cell r="F42">
            <v>0</v>
          </cell>
          <cell r="G42">
            <v>0</v>
          </cell>
          <cell r="H42">
            <v>0</v>
          </cell>
          <cell r="I42">
            <v>0</v>
          </cell>
          <cell r="J42">
            <v>0</v>
          </cell>
          <cell r="K42">
            <v>0</v>
          </cell>
          <cell r="L42">
            <v>0</v>
          </cell>
          <cell r="M42">
            <v>0</v>
          </cell>
        </row>
        <row r="43">
          <cell r="B43" t="str">
            <v xml:space="preserve">San Diego Area (CZ07) </v>
          </cell>
          <cell r="C43" t="str">
            <v>(kWh/kWh)</v>
          </cell>
          <cell r="D43">
            <v>0</v>
          </cell>
          <cell r="E43">
            <v>0</v>
          </cell>
          <cell r="F43">
            <v>0</v>
          </cell>
          <cell r="G43">
            <v>0</v>
          </cell>
          <cell r="H43">
            <v>0</v>
          </cell>
          <cell r="I43">
            <v>0</v>
          </cell>
          <cell r="J43">
            <v>0</v>
          </cell>
          <cell r="K43">
            <v>0</v>
          </cell>
          <cell r="L43">
            <v>0</v>
          </cell>
          <cell r="M43">
            <v>0</v>
          </cell>
        </row>
        <row r="44">
          <cell r="C44" t="str">
            <v>(kW/kW)</v>
          </cell>
          <cell r="D44">
            <v>0</v>
          </cell>
          <cell r="E44">
            <v>0</v>
          </cell>
          <cell r="F44">
            <v>0</v>
          </cell>
          <cell r="G44">
            <v>0</v>
          </cell>
          <cell r="H44">
            <v>0</v>
          </cell>
          <cell r="I44">
            <v>0</v>
          </cell>
          <cell r="J44">
            <v>0</v>
          </cell>
          <cell r="K44">
            <v>0</v>
          </cell>
          <cell r="L44">
            <v>0</v>
          </cell>
          <cell r="M44">
            <v>0</v>
          </cell>
        </row>
        <row r="45">
          <cell r="C45" t="str">
            <v>(therms/kWh)</v>
          </cell>
          <cell r="D45">
            <v>0</v>
          </cell>
          <cell r="E45">
            <v>0</v>
          </cell>
          <cell r="F45">
            <v>0</v>
          </cell>
          <cell r="G45">
            <v>0</v>
          </cell>
          <cell r="H45">
            <v>0</v>
          </cell>
          <cell r="I45">
            <v>0</v>
          </cell>
          <cell r="J45">
            <v>0</v>
          </cell>
          <cell r="K45">
            <v>0</v>
          </cell>
          <cell r="L45">
            <v>0</v>
          </cell>
          <cell r="M45">
            <v>0</v>
          </cell>
        </row>
        <row r="46">
          <cell r="B46" t="str">
            <v xml:space="preserve">El Toro Area (CZ08) </v>
          </cell>
          <cell r="C46" t="str">
            <v>(kWh/kWh)</v>
          </cell>
          <cell r="D46">
            <v>0</v>
          </cell>
          <cell r="E46">
            <v>0</v>
          </cell>
          <cell r="F46">
            <v>0</v>
          </cell>
          <cell r="G46">
            <v>0</v>
          </cell>
          <cell r="H46">
            <v>0</v>
          </cell>
          <cell r="I46">
            <v>0</v>
          </cell>
          <cell r="J46">
            <v>0</v>
          </cell>
          <cell r="K46">
            <v>0</v>
          </cell>
          <cell r="L46">
            <v>0</v>
          </cell>
          <cell r="M46">
            <v>0</v>
          </cell>
        </row>
        <row r="47">
          <cell r="C47" t="str">
            <v>(kW/kW)</v>
          </cell>
          <cell r="D47">
            <v>0</v>
          </cell>
          <cell r="E47">
            <v>0</v>
          </cell>
          <cell r="F47">
            <v>0</v>
          </cell>
          <cell r="G47">
            <v>0</v>
          </cell>
          <cell r="H47">
            <v>0</v>
          </cell>
          <cell r="I47">
            <v>0</v>
          </cell>
          <cell r="J47">
            <v>0</v>
          </cell>
          <cell r="K47">
            <v>0</v>
          </cell>
          <cell r="L47">
            <v>0</v>
          </cell>
          <cell r="M47">
            <v>0</v>
          </cell>
        </row>
        <row r="48">
          <cell r="C48" t="str">
            <v>(therms/kWh)</v>
          </cell>
          <cell r="D48">
            <v>0</v>
          </cell>
          <cell r="E48">
            <v>0</v>
          </cell>
          <cell r="F48">
            <v>0</v>
          </cell>
          <cell r="G48">
            <v>0</v>
          </cell>
          <cell r="H48">
            <v>0</v>
          </cell>
          <cell r="I48">
            <v>0</v>
          </cell>
          <cell r="J48">
            <v>0</v>
          </cell>
          <cell r="K48">
            <v>0</v>
          </cell>
          <cell r="L48">
            <v>0</v>
          </cell>
          <cell r="M48">
            <v>0</v>
          </cell>
        </row>
        <row r="49">
          <cell r="B49" t="str">
            <v xml:space="preserve">Pasadena Area (CZ09) </v>
          </cell>
          <cell r="C49" t="str">
            <v>(kWh/kWh)</v>
          </cell>
          <cell r="D49">
            <v>0</v>
          </cell>
          <cell r="E49">
            <v>0</v>
          </cell>
          <cell r="F49">
            <v>0</v>
          </cell>
          <cell r="G49">
            <v>0</v>
          </cell>
          <cell r="H49">
            <v>0</v>
          </cell>
          <cell r="I49">
            <v>0</v>
          </cell>
          <cell r="J49">
            <v>0</v>
          </cell>
          <cell r="K49">
            <v>0</v>
          </cell>
          <cell r="L49">
            <v>0</v>
          </cell>
          <cell r="M49">
            <v>0</v>
          </cell>
        </row>
        <row r="50">
          <cell r="C50" t="str">
            <v>(kW/kW)</v>
          </cell>
          <cell r="D50">
            <v>0</v>
          </cell>
          <cell r="E50">
            <v>0</v>
          </cell>
          <cell r="F50">
            <v>0</v>
          </cell>
          <cell r="G50">
            <v>0</v>
          </cell>
          <cell r="H50">
            <v>0</v>
          </cell>
          <cell r="I50">
            <v>0</v>
          </cell>
          <cell r="J50">
            <v>0</v>
          </cell>
          <cell r="K50">
            <v>0</v>
          </cell>
          <cell r="L50">
            <v>0</v>
          </cell>
          <cell r="M50">
            <v>0</v>
          </cell>
        </row>
        <row r="51">
          <cell r="C51" t="str">
            <v>(therms/kWh)</v>
          </cell>
          <cell r="D51">
            <v>0</v>
          </cell>
          <cell r="E51">
            <v>0</v>
          </cell>
          <cell r="F51">
            <v>0</v>
          </cell>
          <cell r="G51">
            <v>0</v>
          </cell>
          <cell r="H51">
            <v>0</v>
          </cell>
          <cell r="I51">
            <v>0</v>
          </cell>
          <cell r="J51">
            <v>0</v>
          </cell>
          <cell r="K51">
            <v>0</v>
          </cell>
          <cell r="L51">
            <v>0</v>
          </cell>
          <cell r="M51">
            <v>0</v>
          </cell>
        </row>
        <row r="52">
          <cell r="B52" t="str">
            <v xml:space="preserve">San Bernardino Area (CZ10) </v>
          </cell>
          <cell r="C52" t="str">
            <v>(kWh/kWh)</v>
          </cell>
          <cell r="D52">
            <v>0</v>
          </cell>
          <cell r="E52">
            <v>0</v>
          </cell>
          <cell r="F52">
            <v>0</v>
          </cell>
          <cell r="G52">
            <v>0</v>
          </cell>
          <cell r="H52">
            <v>0</v>
          </cell>
          <cell r="I52">
            <v>0</v>
          </cell>
          <cell r="J52">
            <v>0</v>
          </cell>
          <cell r="K52">
            <v>0</v>
          </cell>
          <cell r="L52">
            <v>0</v>
          </cell>
          <cell r="M52">
            <v>0</v>
          </cell>
        </row>
        <row r="53">
          <cell r="C53" t="str">
            <v>(kW/kW)</v>
          </cell>
          <cell r="D53">
            <v>0</v>
          </cell>
          <cell r="E53">
            <v>0</v>
          </cell>
          <cell r="F53">
            <v>0</v>
          </cell>
          <cell r="G53">
            <v>0</v>
          </cell>
          <cell r="H53">
            <v>0</v>
          </cell>
          <cell r="I53">
            <v>0</v>
          </cell>
          <cell r="J53">
            <v>0</v>
          </cell>
          <cell r="K53">
            <v>0</v>
          </cell>
          <cell r="L53">
            <v>0</v>
          </cell>
          <cell r="M53">
            <v>0</v>
          </cell>
        </row>
        <row r="54">
          <cell r="C54" t="str">
            <v>(therms/kWh)</v>
          </cell>
          <cell r="D54">
            <v>0</v>
          </cell>
          <cell r="E54">
            <v>0</v>
          </cell>
          <cell r="F54">
            <v>0</v>
          </cell>
          <cell r="G54">
            <v>0</v>
          </cell>
          <cell r="H54">
            <v>0</v>
          </cell>
          <cell r="I54">
            <v>0</v>
          </cell>
          <cell r="J54">
            <v>0</v>
          </cell>
          <cell r="K54">
            <v>0</v>
          </cell>
          <cell r="L54">
            <v>0</v>
          </cell>
          <cell r="M54">
            <v>0</v>
          </cell>
        </row>
        <row r="55">
          <cell r="B55" t="str">
            <v xml:space="preserve">Red Bluff Area (CZ11) </v>
          </cell>
          <cell r="C55" t="str">
            <v>(kWh/kWh)</v>
          </cell>
          <cell r="D55">
            <v>1.1123117963557445</v>
          </cell>
          <cell r="E55">
            <v>1.0199484559388705</v>
          </cell>
          <cell r="F55">
            <v>0</v>
          </cell>
          <cell r="G55">
            <v>0</v>
          </cell>
          <cell r="H55">
            <v>0</v>
          </cell>
          <cell r="I55">
            <v>0.83338156169462407</v>
          </cell>
          <cell r="J55">
            <v>0</v>
          </cell>
          <cell r="K55">
            <v>0</v>
          </cell>
          <cell r="L55">
            <v>0.69905683410950847</v>
          </cell>
          <cell r="M55">
            <v>1.0194782294162861</v>
          </cell>
        </row>
        <row r="56">
          <cell r="C56" t="str">
            <v>(kW/kW)</v>
          </cell>
          <cell r="D56">
            <v>1.2918030117201615</v>
          </cell>
          <cell r="E56">
            <v>1.2166932147237393</v>
          </cell>
          <cell r="F56">
            <v>0</v>
          </cell>
          <cell r="G56">
            <v>0</v>
          </cell>
          <cell r="H56">
            <v>0</v>
          </cell>
          <cell r="I56">
            <v>1.2949226204713511</v>
          </cell>
          <cell r="J56">
            <v>0</v>
          </cell>
          <cell r="K56">
            <v>0</v>
          </cell>
          <cell r="L56">
            <v>1</v>
          </cell>
          <cell r="M56">
            <v>1.0240561020666772</v>
          </cell>
        </row>
        <row r="57">
          <cell r="C57" t="str">
            <v>(therms/kWh)</v>
          </cell>
          <cell r="D57">
            <v>-1.3435818601076096E-2</v>
          </cell>
          <cell r="E57">
            <v>0</v>
          </cell>
          <cell r="F57">
            <v>0</v>
          </cell>
          <cell r="G57">
            <v>0</v>
          </cell>
          <cell r="H57">
            <v>0</v>
          </cell>
          <cell r="I57">
            <v>0</v>
          </cell>
          <cell r="J57">
            <v>0</v>
          </cell>
          <cell r="K57">
            <v>0</v>
          </cell>
          <cell r="L57">
            <v>0</v>
          </cell>
          <cell r="M57">
            <v>-1.3994664737532215E-2</v>
          </cell>
        </row>
        <row r="58">
          <cell r="B58" t="str">
            <v xml:space="preserve">Sacramento Area (CZ12) </v>
          </cell>
          <cell r="C58" t="str">
            <v>(kWh/kWh)</v>
          </cell>
          <cell r="D58">
            <v>1.105394040783108</v>
          </cell>
          <cell r="E58">
            <v>1.0266130126147308</v>
          </cell>
          <cell r="F58">
            <v>0</v>
          </cell>
          <cell r="G58">
            <v>0</v>
          </cell>
          <cell r="H58">
            <v>0</v>
          </cell>
          <cell r="I58">
            <v>0.82949043722023785</v>
          </cell>
          <cell r="J58">
            <v>0</v>
          </cell>
          <cell r="K58">
            <v>0</v>
          </cell>
          <cell r="L58">
            <v>0.71220237826106614</v>
          </cell>
          <cell r="M58">
            <v>1.0128769724646201</v>
          </cell>
        </row>
        <row r="59">
          <cell r="C59" t="str">
            <v>(kW/kW)</v>
          </cell>
          <cell r="D59">
            <v>1.257863907704365</v>
          </cell>
          <cell r="E59">
            <v>1.2679148494394374</v>
          </cell>
          <cell r="F59">
            <v>0</v>
          </cell>
          <cell r="G59">
            <v>0</v>
          </cell>
          <cell r="H59">
            <v>0</v>
          </cell>
          <cell r="I59">
            <v>1.2739505035649037</v>
          </cell>
          <cell r="J59">
            <v>0</v>
          </cell>
          <cell r="K59">
            <v>0</v>
          </cell>
          <cell r="L59">
            <v>1</v>
          </cell>
          <cell r="M59">
            <v>1.0270230382851822</v>
          </cell>
        </row>
        <row r="60">
          <cell r="C60" t="str">
            <v>(therms/kWh)</v>
          </cell>
          <cell r="D60">
            <v>-1.3632952027851877E-2</v>
          </cell>
          <cell r="E60">
            <v>0</v>
          </cell>
          <cell r="F60">
            <v>0</v>
          </cell>
          <cell r="G60">
            <v>0</v>
          </cell>
          <cell r="H60">
            <v>0</v>
          </cell>
          <cell r="I60">
            <v>0</v>
          </cell>
          <cell r="J60">
            <v>0</v>
          </cell>
          <cell r="K60">
            <v>0</v>
          </cell>
          <cell r="L60">
            <v>0</v>
          </cell>
          <cell r="M60">
            <v>-1.3803861283175838E-2</v>
          </cell>
        </row>
        <row r="61">
          <cell r="B61" t="str">
            <v xml:space="preserve">Fresno Area (CZ13) </v>
          </cell>
          <cell r="C61" t="str">
            <v>(kWh/kWh)</v>
          </cell>
          <cell r="D61">
            <v>1.1385178821720847</v>
          </cell>
          <cell r="E61">
            <v>1.0608129493150065</v>
          </cell>
          <cell r="F61">
            <v>0</v>
          </cell>
          <cell r="G61">
            <v>0</v>
          </cell>
          <cell r="H61">
            <v>0</v>
          </cell>
          <cell r="I61">
            <v>0.91640819279287422</v>
          </cell>
          <cell r="J61">
            <v>0</v>
          </cell>
          <cell r="K61">
            <v>0</v>
          </cell>
          <cell r="L61">
            <v>0.76900935931636294</v>
          </cell>
          <cell r="M61">
            <v>1.0223086313695346</v>
          </cell>
        </row>
        <row r="62">
          <cell r="C62" t="str">
            <v>(kW/kW)</v>
          </cell>
          <cell r="D62">
            <v>1.289792823373147</v>
          </cell>
          <cell r="E62">
            <v>1.2112580725601658</v>
          </cell>
          <cell r="F62">
            <v>0</v>
          </cell>
          <cell r="G62">
            <v>0</v>
          </cell>
          <cell r="H62">
            <v>0</v>
          </cell>
          <cell r="I62">
            <v>1.2995638654649644</v>
          </cell>
          <cell r="J62">
            <v>0</v>
          </cell>
          <cell r="K62">
            <v>0</v>
          </cell>
          <cell r="L62">
            <v>1</v>
          </cell>
          <cell r="M62">
            <v>1.0244581397360801</v>
          </cell>
        </row>
        <row r="63">
          <cell r="C63" t="str">
            <v>(therms/kWh)</v>
          </cell>
          <cell r="D63">
            <v>-1.09662250757336E-2</v>
          </cell>
          <cell r="E63">
            <v>0</v>
          </cell>
          <cell r="F63">
            <v>0</v>
          </cell>
          <cell r="G63">
            <v>0</v>
          </cell>
          <cell r="H63">
            <v>0</v>
          </cell>
          <cell r="I63">
            <v>0</v>
          </cell>
          <cell r="J63">
            <v>0</v>
          </cell>
          <cell r="K63">
            <v>0</v>
          </cell>
          <cell r="L63">
            <v>0</v>
          </cell>
          <cell r="M63">
            <v>-1.1445494416060045E-2</v>
          </cell>
        </row>
        <row r="64">
          <cell r="B64" t="str">
            <v xml:space="preserve">China Lake Area (CZ14) </v>
          </cell>
          <cell r="C64" t="str">
            <v>(kWh/kWh)</v>
          </cell>
          <cell r="D64">
            <v>0</v>
          </cell>
          <cell r="E64">
            <v>0</v>
          </cell>
          <cell r="F64">
            <v>0</v>
          </cell>
          <cell r="G64">
            <v>0</v>
          </cell>
          <cell r="H64">
            <v>0</v>
          </cell>
          <cell r="I64">
            <v>0</v>
          </cell>
          <cell r="J64">
            <v>0</v>
          </cell>
          <cell r="K64">
            <v>0</v>
          </cell>
          <cell r="L64">
            <v>0</v>
          </cell>
          <cell r="M64">
            <v>0</v>
          </cell>
        </row>
        <row r="65">
          <cell r="C65" t="str">
            <v>(kW/kW)</v>
          </cell>
          <cell r="D65">
            <v>0</v>
          </cell>
          <cell r="E65">
            <v>0</v>
          </cell>
          <cell r="F65">
            <v>0</v>
          </cell>
          <cell r="G65">
            <v>0</v>
          </cell>
          <cell r="H65">
            <v>0</v>
          </cell>
          <cell r="I65">
            <v>0</v>
          </cell>
          <cell r="J65">
            <v>0</v>
          </cell>
          <cell r="K65">
            <v>0</v>
          </cell>
          <cell r="L65">
            <v>0</v>
          </cell>
          <cell r="M65">
            <v>0</v>
          </cell>
        </row>
        <row r="66">
          <cell r="C66" t="str">
            <v>(therms/kWh)</v>
          </cell>
          <cell r="D66">
            <v>0</v>
          </cell>
          <cell r="E66">
            <v>0</v>
          </cell>
          <cell r="F66">
            <v>0</v>
          </cell>
          <cell r="G66">
            <v>0</v>
          </cell>
          <cell r="H66">
            <v>0</v>
          </cell>
          <cell r="I66">
            <v>0</v>
          </cell>
          <cell r="J66">
            <v>0</v>
          </cell>
          <cell r="K66">
            <v>0</v>
          </cell>
          <cell r="L66">
            <v>0</v>
          </cell>
          <cell r="M66">
            <v>0</v>
          </cell>
        </row>
        <row r="67">
          <cell r="B67" t="str">
            <v xml:space="preserve">Blythe Area (CZ15) </v>
          </cell>
          <cell r="C67" t="str">
            <v>(kWh/kWh)</v>
          </cell>
          <cell r="D67">
            <v>0</v>
          </cell>
          <cell r="E67">
            <v>0</v>
          </cell>
          <cell r="F67">
            <v>0</v>
          </cell>
          <cell r="G67">
            <v>0</v>
          </cell>
          <cell r="H67">
            <v>0</v>
          </cell>
          <cell r="I67">
            <v>0</v>
          </cell>
          <cell r="J67">
            <v>0</v>
          </cell>
          <cell r="K67">
            <v>0</v>
          </cell>
          <cell r="L67">
            <v>0</v>
          </cell>
          <cell r="M67">
            <v>0</v>
          </cell>
        </row>
        <row r="68">
          <cell r="C68" t="str">
            <v>(kW/kW)</v>
          </cell>
          <cell r="D68">
            <v>0</v>
          </cell>
          <cell r="E68">
            <v>0</v>
          </cell>
          <cell r="F68">
            <v>0</v>
          </cell>
          <cell r="G68">
            <v>0</v>
          </cell>
          <cell r="H68">
            <v>0</v>
          </cell>
          <cell r="I68">
            <v>0</v>
          </cell>
          <cell r="J68">
            <v>0</v>
          </cell>
          <cell r="K68">
            <v>0</v>
          </cell>
          <cell r="L68">
            <v>0</v>
          </cell>
          <cell r="M68">
            <v>0</v>
          </cell>
        </row>
        <row r="69">
          <cell r="C69" t="str">
            <v>(therms/kWh)</v>
          </cell>
          <cell r="D69">
            <v>0</v>
          </cell>
          <cell r="E69">
            <v>0</v>
          </cell>
          <cell r="F69">
            <v>0</v>
          </cell>
          <cell r="G69">
            <v>0</v>
          </cell>
          <cell r="H69">
            <v>0</v>
          </cell>
          <cell r="I69">
            <v>0</v>
          </cell>
          <cell r="J69">
            <v>0</v>
          </cell>
          <cell r="K69">
            <v>0</v>
          </cell>
          <cell r="L69">
            <v>0</v>
          </cell>
          <cell r="M69">
            <v>0</v>
          </cell>
        </row>
        <row r="70">
          <cell r="B70" t="str">
            <v xml:space="preserve">Mount Shasta Area (CZ16) </v>
          </cell>
          <cell r="C70" t="str">
            <v>(kWh/kWh)</v>
          </cell>
          <cell r="D70">
            <v>1.062440656508568</v>
          </cell>
          <cell r="E70">
            <v>0.86136817832436585</v>
          </cell>
          <cell r="F70">
            <v>0</v>
          </cell>
          <cell r="G70">
            <v>0</v>
          </cell>
          <cell r="H70">
            <v>0</v>
          </cell>
          <cell r="I70">
            <v>0.6316769905502555</v>
          </cell>
          <cell r="J70">
            <v>0</v>
          </cell>
          <cell r="K70">
            <v>0</v>
          </cell>
          <cell r="L70">
            <v>0.24051363204774609</v>
          </cell>
          <cell r="M70">
            <v>1.0109327666500882</v>
          </cell>
        </row>
        <row r="71">
          <cell r="C71" t="str">
            <v>(kW/kW)</v>
          </cell>
          <cell r="D71">
            <v>1.1377971389167376</v>
          </cell>
          <cell r="E71">
            <v>1.1406012244337123</v>
          </cell>
          <cell r="F71">
            <v>0</v>
          </cell>
          <cell r="G71">
            <v>0</v>
          </cell>
          <cell r="H71">
            <v>0</v>
          </cell>
          <cell r="I71">
            <v>1.1386724614374628</v>
          </cell>
          <cell r="J71">
            <v>0</v>
          </cell>
          <cell r="K71">
            <v>0</v>
          </cell>
          <cell r="L71">
            <v>1</v>
          </cell>
          <cell r="M71">
            <v>1.0149771754563637</v>
          </cell>
        </row>
        <row r="72">
          <cell r="C72" t="str">
            <v>(therms/kWh)</v>
          </cell>
          <cell r="D72">
            <v>-2.0106705249355698E-2</v>
          </cell>
          <cell r="E72">
            <v>0</v>
          </cell>
          <cell r="F72">
            <v>0</v>
          </cell>
          <cell r="G72">
            <v>0</v>
          </cell>
          <cell r="H72">
            <v>0</v>
          </cell>
          <cell r="I72">
            <v>0</v>
          </cell>
          <cell r="J72">
            <v>0</v>
          </cell>
          <cell r="K72">
            <v>0</v>
          </cell>
          <cell r="L72">
            <v>0</v>
          </cell>
          <cell r="M72">
            <v>-2.0547090473391507E-2</v>
          </cell>
        </row>
      </sheetData>
      <sheetData sheetId="2" refreshError="1">
        <row r="6">
          <cell r="AL6" t="str">
            <v>w01</v>
          </cell>
          <cell r="AM6" t="str">
            <v>w02</v>
          </cell>
          <cell r="AN6" t="str">
            <v>w03</v>
          </cell>
          <cell r="AO6" t="str">
            <v>w04</v>
          </cell>
          <cell r="AP6" t="str">
            <v>w05</v>
          </cell>
          <cell r="AQ6" t="str">
            <v>w06</v>
          </cell>
          <cell r="AR6" t="str">
            <v>w07</v>
          </cell>
          <cell r="AS6" t="str">
            <v>w08</v>
          </cell>
          <cell r="AT6" t="str">
            <v>w09</v>
          </cell>
          <cell r="AU6" t="str">
            <v>w10</v>
          </cell>
          <cell r="AV6" t="str">
            <v>w11</v>
          </cell>
          <cell r="AW6" t="str">
            <v>w12</v>
          </cell>
          <cell r="AX6" t="str">
            <v>w13</v>
          </cell>
          <cell r="AY6" t="str">
            <v>w14</v>
          </cell>
          <cell r="AZ6" t="str">
            <v>w15</v>
          </cell>
          <cell r="BA6" t="str">
            <v>w16</v>
          </cell>
        </row>
        <row r="7">
          <cell r="E7" t="str">
            <v>GasPac</v>
          </cell>
          <cell r="F7" t="str">
            <v>HP</v>
          </cell>
          <cell r="G7" t="str">
            <v>WLHP</v>
          </cell>
          <cell r="H7" t="str">
            <v>PSZElec</v>
          </cell>
          <cell r="I7" t="str">
            <v>ElecHeat</v>
          </cell>
          <cell r="J7" t="str">
            <v>GasFurn</v>
          </cell>
          <cell r="K7" t="str">
            <v>PVAV</v>
          </cell>
          <cell r="L7" t="str">
            <v>SVAV</v>
          </cell>
          <cell r="M7" t="str">
            <v>PVAVElec</v>
          </cell>
          <cell r="N7" t="str">
            <v>SVAVElec</v>
          </cell>
          <cell r="O7" t="str">
            <v>DX/Other</v>
          </cell>
          <cell r="P7" t="str">
            <v>Unconditioned</v>
          </cell>
        </row>
      </sheetData>
      <sheetData sheetId="3" refreshError="1"/>
      <sheetData sheetId="4" refreshError="1">
        <row r="3">
          <cell r="A3">
            <v>1</v>
          </cell>
          <cell r="B3" t="str">
            <v>PGE</v>
          </cell>
          <cell r="C3">
            <v>2</v>
          </cell>
        </row>
        <row r="4">
          <cell r="A4">
            <v>2</v>
          </cell>
          <cell r="B4" t="str">
            <v>SCE</v>
          </cell>
          <cell r="C4">
            <v>3</v>
          </cell>
        </row>
        <row r="5">
          <cell r="A5">
            <v>3</v>
          </cell>
          <cell r="B5" t="str">
            <v>SCG</v>
          </cell>
          <cell r="C5">
            <v>4</v>
          </cell>
        </row>
        <row r="6">
          <cell r="A6">
            <v>4</v>
          </cell>
          <cell r="B6" t="str">
            <v>SDGE</v>
          </cell>
          <cell r="C6">
            <v>5</v>
          </cell>
        </row>
        <row r="16">
          <cell r="D16" t="str">
            <v>GasPac</v>
          </cell>
          <cell r="E16" t="str">
            <v>HP</v>
          </cell>
          <cell r="F16" t="str">
            <v>PVAV</v>
          </cell>
          <cell r="G16" t="str">
            <v>SVAV</v>
          </cell>
          <cell r="H16" t="str">
            <v>WLHP</v>
          </cell>
          <cell r="I16" t="str">
            <v>PSZElec</v>
          </cell>
          <cell r="J16" t="str">
            <v>PVAVElec</v>
          </cell>
          <cell r="K16" t="str">
            <v>SVAVElec</v>
          </cell>
          <cell r="L16" t="str">
            <v>ElecHeat</v>
          </cell>
          <cell r="M16" t="str">
            <v>GasFurn</v>
          </cell>
        </row>
        <row r="18">
          <cell r="A18" t="str">
            <v>Assembly</v>
          </cell>
          <cell r="B18" t="str">
            <v>Asm</v>
          </cell>
          <cell r="C18" t="str">
            <v>NRMeasureDD</v>
          </cell>
          <cell r="D18">
            <v>1</v>
          </cell>
          <cell r="E18">
            <v>1</v>
          </cell>
          <cell r="F18">
            <v>0</v>
          </cell>
          <cell r="G18">
            <v>0</v>
          </cell>
          <cell r="H18">
            <v>0</v>
          </cell>
          <cell r="I18">
            <v>1</v>
          </cell>
          <cell r="J18">
            <v>0</v>
          </cell>
          <cell r="K18">
            <v>0</v>
          </cell>
          <cell r="L18">
            <v>1</v>
          </cell>
          <cell r="M18">
            <v>1</v>
          </cell>
          <cell r="O18">
            <v>1</v>
          </cell>
          <cell r="P18" t="str">
            <v>vN5</v>
          </cell>
        </row>
        <row r="19">
          <cell r="A19" t="str">
            <v>Education - Primary School</v>
          </cell>
          <cell r="B19" t="str">
            <v>EPr</v>
          </cell>
          <cell r="C19" t="str">
            <v>NRMeasureDD</v>
          </cell>
          <cell r="D19">
            <v>1</v>
          </cell>
          <cell r="E19">
            <v>1</v>
          </cell>
          <cell r="F19">
            <v>0</v>
          </cell>
          <cell r="G19">
            <v>0</v>
          </cell>
          <cell r="H19">
            <v>1</v>
          </cell>
          <cell r="I19">
            <v>1</v>
          </cell>
          <cell r="J19">
            <v>0</v>
          </cell>
          <cell r="K19">
            <v>0</v>
          </cell>
          <cell r="L19">
            <v>1</v>
          </cell>
          <cell r="M19">
            <v>1</v>
          </cell>
          <cell r="O19">
            <v>2</v>
          </cell>
          <cell r="P19" t="str">
            <v>vN5</v>
          </cell>
        </row>
        <row r="20">
          <cell r="A20" t="str">
            <v>Education - Secondary  School</v>
          </cell>
          <cell r="B20" t="str">
            <v>ESe</v>
          </cell>
          <cell r="C20" t="str">
            <v>NRMeasureDD</v>
          </cell>
          <cell r="D20">
            <v>1</v>
          </cell>
          <cell r="E20">
            <v>1</v>
          </cell>
          <cell r="F20">
            <v>1</v>
          </cell>
          <cell r="G20">
            <v>1</v>
          </cell>
          <cell r="H20">
            <v>1</v>
          </cell>
          <cell r="I20">
            <v>1</v>
          </cell>
          <cell r="J20">
            <v>1</v>
          </cell>
          <cell r="K20">
            <v>1</v>
          </cell>
          <cell r="L20">
            <v>1</v>
          </cell>
          <cell r="M20">
            <v>1</v>
          </cell>
          <cell r="O20">
            <v>3</v>
          </cell>
          <cell r="P20" t="str">
            <v>vN5</v>
          </cell>
        </row>
        <row r="21">
          <cell r="A21" t="str">
            <v>Education - Community College</v>
          </cell>
          <cell r="B21" t="str">
            <v>ECC</v>
          </cell>
          <cell r="C21" t="str">
            <v>NRMeasureDD</v>
          </cell>
          <cell r="D21">
            <v>1</v>
          </cell>
          <cell r="E21">
            <v>1</v>
          </cell>
          <cell r="F21">
            <v>1</v>
          </cell>
          <cell r="G21">
            <v>1</v>
          </cell>
          <cell r="H21">
            <v>1</v>
          </cell>
          <cell r="I21">
            <v>1</v>
          </cell>
          <cell r="J21">
            <v>1</v>
          </cell>
          <cell r="K21">
            <v>1</v>
          </cell>
          <cell r="L21">
            <v>1</v>
          </cell>
          <cell r="M21">
            <v>1</v>
          </cell>
          <cell r="O21">
            <v>4</v>
          </cell>
          <cell r="P21" t="str">
            <v>vN5</v>
          </cell>
        </row>
        <row r="22">
          <cell r="A22" t="str">
            <v>Education - University</v>
          </cell>
          <cell r="B22" t="str">
            <v>Eun</v>
          </cell>
          <cell r="C22" t="str">
            <v>NRMeasureDD</v>
          </cell>
          <cell r="D22">
            <v>1</v>
          </cell>
          <cell r="E22">
            <v>1</v>
          </cell>
          <cell r="F22">
            <v>1</v>
          </cell>
          <cell r="G22">
            <v>1</v>
          </cell>
          <cell r="H22">
            <v>0</v>
          </cell>
          <cell r="I22">
            <v>1</v>
          </cell>
          <cell r="J22">
            <v>1</v>
          </cell>
          <cell r="K22">
            <v>1</v>
          </cell>
          <cell r="L22">
            <v>1</v>
          </cell>
          <cell r="M22">
            <v>1</v>
          </cell>
          <cell r="O22">
            <v>5</v>
          </cell>
          <cell r="P22" t="str">
            <v>vN5</v>
          </cell>
        </row>
        <row r="23">
          <cell r="A23" t="str">
            <v>Education - Relocatable Classroom</v>
          </cell>
          <cell r="B23" t="str">
            <v>ERC</v>
          </cell>
          <cell r="C23" t="str">
            <v>NRMeasureDD</v>
          </cell>
          <cell r="D23">
            <v>1</v>
          </cell>
          <cell r="E23">
            <v>1</v>
          </cell>
          <cell r="F23">
            <v>0</v>
          </cell>
          <cell r="G23">
            <v>0</v>
          </cell>
          <cell r="H23">
            <v>0</v>
          </cell>
          <cell r="I23">
            <v>1</v>
          </cell>
          <cell r="J23">
            <v>0</v>
          </cell>
          <cell r="K23">
            <v>0</v>
          </cell>
          <cell r="L23">
            <v>1</v>
          </cell>
          <cell r="M23">
            <v>1</v>
          </cell>
          <cell r="O23">
            <v>6</v>
          </cell>
          <cell r="P23" t="str">
            <v>vN5</v>
          </cell>
        </row>
        <row r="24">
          <cell r="A24" t="str">
            <v>Grocery</v>
          </cell>
          <cell r="B24" t="str">
            <v>Gro</v>
          </cell>
          <cell r="C24" t="str">
            <v>NRMeasureDD</v>
          </cell>
          <cell r="D24">
            <v>1</v>
          </cell>
          <cell r="E24">
            <v>1</v>
          </cell>
          <cell r="F24">
            <v>0</v>
          </cell>
          <cell r="G24">
            <v>0</v>
          </cell>
          <cell r="H24">
            <v>0</v>
          </cell>
          <cell r="I24">
            <v>1</v>
          </cell>
          <cell r="J24">
            <v>0</v>
          </cell>
          <cell r="K24">
            <v>0</v>
          </cell>
          <cell r="L24">
            <v>1</v>
          </cell>
          <cell r="M24">
            <v>1</v>
          </cell>
          <cell r="O24">
            <v>7</v>
          </cell>
          <cell r="P24" t="str">
            <v>vN5</v>
          </cell>
        </row>
        <row r="25">
          <cell r="A25" t="str">
            <v>Health/Medical - Hospital</v>
          </cell>
          <cell r="B25" t="str">
            <v>Hsp</v>
          </cell>
          <cell r="C25" t="str">
            <v>NRMeasureDD</v>
          </cell>
          <cell r="D25">
            <v>1</v>
          </cell>
          <cell r="E25">
            <v>1</v>
          </cell>
          <cell r="F25">
            <v>1</v>
          </cell>
          <cell r="G25">
            <v>1</v>
          </cell>
          <cell r="H25">
            <v>0</v>
          </cell>
          <cell r="I25">
            <v>1</v>
          </cell>
          <cell r="J25">
            <v>1</v>
          </cell>
          <cell r="K25">
            <v>1</v>
          </cell>
          <cell r="L25">
            <v>1</v>
          </cell>
          <cell r="M25">
            <v>1</v>
          </cell>
          <cell r="O25">
            <v>8</v>
          </cell>
          <cell r="P25" t="str">
            <v>vN5</v>
          </cell>
        </row>
        <row r="26">
          <cell r="A26" t="str">
            <v>Health/Medical - Nursing Home</v>
          </cell>
          <cell r="B26" t="str">
            <v>Nrs</v>
          </cell>
          <cell r="C26" t="str">
            <v>NRMeasureDD</v>
          </cell>
          <cell r="D26">
            <v>1</v>
          </cell>
          <cell r="E26">
            <v>1</v>
          </cell>
          <cell r="F26">
            <v>1</v>
          </cell>
          <cell r="G26">
            <v>1</v>
          </cell>
          <cell r="H26">
            <v>0</v>
          </cell>
          <cell r="I26">
            <v>1</v>
          </cell>
          <cell r="J26">
            <v>1</v>
          </cell>
          <cell r="K26">
            <v>1</v>
          </cell>
          <cell r="L26">
            <v>1</v>
          </cell>
          <cell r="M26">
            <v>1</v>
          </cell>
          <cell r="O26">
            <v>9</v>
          </cell>
          <cell r="P26" t="str">
            <v>vN5</v>
          </cell>
        </row>
        <row r="27">
          <cell r="A27" t="str">
            <v>Lodging - Hotel</v>
          </cell>
          <cell r="B27" t="str">
            <v>Htl</v>
          </cell>
          <cell r="C27" t="str">
            <v>NRMeasureDD</v>
          </cell>
          <cell r="D27">
            <v>1</v>
          </cell>
          <cell r="E27">
            <v>1</v>
          </cell>
          <cell r="F27">
            <v>1</v>
          </cell>
          <cell r="G27">
            <v>1</v>
          </cell>
          <cell r="H27">
            <v>1</v>
          </cell>
          <cell r="I27">
            <v>1</v>
          </cell>
          <cell r="J27">
            <v>1</v>
          </cell>
          <cell r="K27">
            <v>1</v>
          </cell>
          <cell r="L27">
            <v>1</v>
          </cell>
          <cell r="M27">
            <v>1</v>
          </cell>
          <cell r="O27">
            <v>10</v>
          </cell>
          <cell r="P27" t="str">
            <v>vN5</v>
          </cell>
        </row>
        <row r="28">
          <cell r="A28" t="str">
            <v>Lodging - Motel</v>
          </cell>
          <cell r="B28" t="str">
            <v>Mtl</v>
          </cell>
          <cell r="C28" t="str">
            <v>NRMeasureDD</v>
          </cell>
          <cell r="D28">
            <v>1</v>
          </cell>
          <cell r="E28">
            <v>1</v>
          </cell>
          <cell r="F28">
            <v>0</v>
          </cell>
          <cell r="G28">
            <v>0</v>
          </cell>
          <cell r="H28">
            <v>0</v>
          </cell>
          <cell r="I28">
            <v>1</v>
          </cell>
          <cell r="J28">
            <v>0</v>
          </cell>
          <cell r="K28">
            <v>0</v>
          </cell>
          <cell r="L28">
            <v>1</v>
          </cell>
          <cell r="M28">
            <v>1</v>
          </cell>
          <cell r="O28">
            <v>11</v>
          </cell>
          <cell r="P28" t="str">
            <v>vN5</v>
          </cell>
        </row>
        <row r="29">
          <cell r="A29" t="str">
            <v>Manufacturing - Bio/Tech</v>
          </cell>
          <cell r="B29" t="str">
            <v>MBT</v>
          </cell>
          <cell r="C29" t="str">
            <v>NRMeasureDD</v>
          </cell>
          <cell r="D29">
            <v>1</v>
          </cell>
          <cell r="E29">
            <v>1</v>
          </cell>
          <cell r="F29">
            <v>0</v>
          </cell>
          <cell r="G29">
            <v>0</v>
          </cell>
          <cell r="H29">
            <v>1</v>
          </cell>
          <cell r="I29">
            <v>1</v>
          </cell>
          <cell r="J29">
            <v>0</v>
          </cell>
          <cell r="K29">
            <v>0</v>
          </cell>
          <cell r="L29">
            <v>1</v>
          </cell>
          <cell r="M29">
            <v>1</v>
          </cell>
          <cell r="O29">
            <v>12</v>
          </cell>
          <cell r="P29" t="str">
            <v>vN5</v>
          </cell>
        </row>
        <row r="30">
          <cell r="A30" t="str">
            <v>Manufacturing - Light Industrial</v>
          </cell>
          <cell r="B30" t="str">
            <v>MLI</v>
          </cell>
          <cell r="C30" t="str">
            <v>NRMeasureDD</v>
          </cell>
          <cell r="D30">
            <v>1</v>
          </cell>
          <cell r="E30">
            <v>1</v>
          </cell>
          <cell r="F30">
            <v>0</v>
          </cell>
          <cell r="G30">
            <v>0</v>
          </cell>
          <cell r="H30">
            <v>0</v>
          </cell>
          <cell r="I30">
            <v>1</v>
          </cell>
          <cell r="J30">
            <v>0</v>
          </cell>
          <cell r="K30">
            <v>0</v>
          </cell>
          <cell r="L30">
            <v>1</v>
          </cell>
          <cell r="M30">
            <v>1</v>
          </cell>
          <cell r="O30">
            <v>13</v>
          </cell>
          <cell r="P30" t="str">
            <v>vN5</v>
          </cell>
        </row>
        <row r="31">
          <cell r="A31" t="str">
            <v>Office - Large</v>
          </cell>
          <cell r="B31" t="str">
            <v>OfL</v>
          </cell>
          <cell r="C31" t="str">
            <v>NRMeasureDD</v>
          </cell>
          <cell r="D31">
            <v>1</v>
          </cell>
          <cell r="E31">
            <v>1</v>
          </cell>
          <cell r="F31">
            <v>1</v>
          </cell>
          <cell r="G31">
            <v>1</v>
          </cell>
          <cell r="H31">
            <v>1</v>
          </cell>
          <cell r="I31">
            <v>1</v>
          </cell>
          <cell r="J31">
            <v>1</v>
          </cell>
          <cell r="K31">
            <v>1</v>
          </cell>
          <cell r="L31">
            <v>1</v>
          </cell>
          <cell r="M31">
            <v>1</v>
          </cell>
          <cell r="O31">
            <v>14</v>
          </cell>
          <cell r="P31" t="str">
            <v>vN5</v>
          </cell>
        </row>
        <row r="32">
          <cell r="A32" t="str">
            <v>Office - Small</v>
          </cell>
          <cell r="B32" t="str">
            <v>OfS</v>
          </cell>
          <cell r="C32" t="str">
            <v>NRMeasureDD</v>
          </cell>
          <cell r="D32">
            <v>1</v>
          </cell>
          <cell r="E32">
            <v>1</v>
          </cell>
          <cell r="F32">
            <v>1</v>
          </cell>
          <cell r="G32">
            <v>1</v>
          </cell>
          <cell r="H32">
            <v>1</v>
          </cell>
          <cell r="I32">
            <v>1</v>
          </cell>
          <cell r="J32">
            <v>1</v>
          </cell>
          <cell r="K32">
            <v>1</v>
          </cell>
          <cell r="L32">
            <v>1</v>
          </cell>
          <cell r="M32">
            <v>1</v>
          </cell>
          <cell r="O32">
            <v>15</v>
          </cell>
          <cell r="P32" t="str">
            <v>vN5</v>
          </cell>
        </row>
        <row r="33">
          <cell r="A33" t="str">
            <v>Restaurant - Sit Down</v>
          </cell>
          <cell r="B33" t="str">
            <v>RSD</v>
          </cell>
          <cell r="C33" t="str">
            <v>NRMeasureDD</v>
          </cell>
          <cell r="D33">
            <v>1</v>
          </cell>
          <cell r="E33">
            <v>1</v>
          </cell>
          <cell r="F33">
            <v>0</v>
          </cell>
          <cell r="G33">
            <v>0</v>
          </cell>
          <cell r="H33">
            <v>0</v>
          </cell>
          <cell r="I33">
            <v>1</v>
          </cell>
          <cell r="J33">
            <v>0</v>
          </cell>
          <cell r="K33">
            <v>0</v>
          </cell>
          <cell r="L33">
            <v>1</v>
          </cell>
          <cell r="M33">
            <v>1</v>
          </cell>
          <cell r="O33">
            <v>16</v>
          </cell>
          <cell r="P33" t="str">
            <v>vN5</v>
          </cell>
        </row>
        <row r="34">
          <cell r="A34" t="str">
            <v>Restaurant - Fast Food</v>
          </cell>
          <cell r="B34" t="str">
            <v>RFF</v>
          </cell>
          <cell r="C34" t="str">
            <v>NRMeasureDD</v>
          </cell>
          <cell r="D34">
            <v>1</v>
          </cell>
          <cell r="E34">
            <v>1</v>
          </cell>
          <cell r="F34">
            <v>0</v>
          </cell>
          <cell r="G34">
            <v>0</v>
          </cell>
          <cell r="H34">
            <v>0</v>
          </cell>
          <cell r="I34">
            <v>1</v>
          </cell>
          <cell r="J34">
            <v>0</v>
          </cell>
          <cell r="K34">
            <v>0</v>
          </cell>
          <cell r="L34">
            <v>1</v>
          </cell>
          <cell r="M34">
            <v>1</v>
          </cell>
          <cell r="O34">
            <v>17</v>
          </cell>
          <cell r="P34" t="str">
            <v>vN5</v>
          </cell>
        </row>
        <row r="35">
          <cell r="A35" t="str">
            <v>Retail - Multistory Large</v>
          </cell>
          <cell r="B35" t="str">
            <v>Rt3</v>
          </cell>
          <cell r="C35" t="str">
            <v>NRMeasureDD</v>
          </cell>
          <cell r="D35">
            <v>1</v>
          </cell>
          <cell r="E35">
            <v>1</v>
          </cell>
          <cell r="F35">
            <v>1</v>
          </cell>
          <cell r="G35">
            <v>1</v>
          </cell>
          <cell r="H35">
            <v>1</v>
          </cell>
          <cell r="I35">
            <v>1</v>
          </cell>
          <cell r="J35">
            <v>1</v>
          </cell>
          <cell r="K35">
            <v>1</v>
          </cell>
          <cell r="L35">
            <v>1</v>
          </cell>
          <cell r="M35">
            <v>1</v>
          </cell>
          <cell r="O35">
            <v>18</v>
          </cell>
          <cell r="P35" t="str">
            <v>vN5</v>
          </cell>
        </row>
        <row r="36">
          <cell r="A36" t="str">
            <v>Retail - Single-Story Large</v>
          </cell>
          <cell r="B36" t="str">
            <v>RtL</v>
          </cell>
          <cell r="C36" t="str">
            <v>NRMeasureDD</v>
          </cell>
          <cell r="D36">
            <v>1</v>
          </cell>
          <cell r="E36">
            <v>1</v>
          </cell>
          <cell r="F36">
            <v>0</v>
          </cell>
          <cell r="G36">
            <v>0</v>
          </cell>
          <cell r="H36">
            <v>0</v>
          </cell>
          <cell r="I36">
            <v>1</v>
          </cell>
          <cell r="J36">
            <v>0</v>
          </cell>
          <cell r="K36">
            <v>0</v>
          </cell>
          <cell r="L36">
            <v>1</v>
          </cell>
          <cell r="M36">
            <v>1</v>
          </cell>
          <cell r="O36">
            <v>19</v>
          </cell>
          <cell r="P36" t="str">
            <v>vN5</v>
          </cell>
        </row>
        <row r="37">
          <cell r="A37" t="str">
            <v>Retail - Small</v>
          </cell>
          <cell r="B37" t="str">
            <v>RtS</v>
          </cell>
          <cell r="C37" t="str">
            <v>NRMeasureDD</v>
          </cell>
          <cell r="D37">
            <v>1</v>
          </cell>
          <cell r="E37">
            <v>1</v>
          </cell>
          <cell r="F37">
            <v>0</v>
          </cell>
          <cell r="G37">
            <v>0</v>
          </cell>
          <cell r="H37">
            <v>0</v>
          </cell>
          <cell r="I37">
            <v>1</v>
          </cell>
          <cell r="J37">
            <v>0</v>
          </cell>
          <cell r="K37">
            <v>0</v>
          </cell>
          <cell r="L37">
            <v>1</v>
          </cell>
          <cell r="M37">
            <v>1</v>
          </cell>
          <cell r="O37">
            <v>20</v>
          </cell>
          <cell r="P37" t="str">
            <v>vN5</v>
          </cell>
        </row>
        <row r="38">
          <cell r="A38" t="str">
            <v>Storage - Conditioned</v>
          </cell>
          <cell r="B38" t="str">
            <v>SCn</v>
          </cell>
          <cell r="C38" t="str">
            <v>NRMeasureDD</v>
          </cell>
          <cell r="D38">
            <v>1</v>
          </cell>
          <cell r="E38">
            <v>1</v>
          </cell>
          <cell r="F38">
            <v>0</v>
          </cell>
          <cell r="G38">
            <v>0</v>
          </cell>
          <cell r="H38">
            <v>0</v>
          </cell>
          <cell r="I38">
            <v>1</v>
          </cell>
          <cell r="J38">
            <v>0</v>
          </cell>
          <cell r="K38">
            <v>0</v>
          </cell>
          <cell r="L38">
            <v>1</v>
          </cell>
          <cell r="M38">
            <v>1</v>
          </cell>
          <cell r="O38">
            <v>21</v>
          </cell>
          <cell r="P38" t="str">
            <v>vN5</v>
          </cell>
        </row>
        <row r="39">
          <cell r="A39" t="str">
            <v>Single Family Residential</v>
          </cell>
          <cell r="B39" t="str">
            <v>SFM</v>
          </cell>
          <cell r="C39" t="str">
            <v>RMeasureDD</v>
          </cell>
          <cell r="D39">
            <v>1</v>
          </cell>
          <cell r="E39">
            <v>1</v>
          </cell>
          <cell r="F39">
            <v>0</v>
          </cell>
          <cell r="G39">
            <v>0</v>
          </cell>
          <cell r="H39">
            <v>0</v>
          </cell>
          <cell r="I39">
            <v>0</v>
          </cell>
          <cell r="J39">
            <v>0</v>
          </cell>
          <cell r="K39">
            <v>0</v>
          </cell>
          <cell r="L39">
            <v>1</v>
          </cell>
          <cell r="M39">
            <v>1</v>
          </cell>
          <cell r="N39" t="str">
            <v>-tWt</v>
          </cell>
          <cell r="O39">
            <v>24</v>
          </cell>
          <cell r="P39" t="str">
            <v>v07</v>
          </cell>
        </row>
        <row r="40">
          <cell r="A40" t="str">
            <v>Multi-Family Residential</v>
          </cell>
          <cell r="B40" t="str">
            <v>MFM</v>
          </cell>
          <cell r="C40" t="str">
            <v>RMeasureDD</v>
          </cell>
          <cell r="D40">
            <v>1</v>
          </cell>
          <cell r="E40">
            <v>1</v>
          </cell>
          <cell r="F40">
            <v>0</v>
          </cell>
          <cell r="G40">
            <v>0</v>
          </cell>
          <cell r="H40">
            <v>0</v>
          </cell>
          <cell r="I40">
            <v>0</v>
          </cell>
          <cell r="J40">
            <v>0</v>
          </cell>
          <cell r="K40">
            <v>0</v>
          </cell>
          <cell r="L40">
            <v>1</v>
          </cell>
          <cell r="M40">
            <v>1</v>
          </cell>
          <cell r="N40" t="str">
            <v>-tWt</v>
          </cell>
          <cell r="O40">
            <v>25</v>
          </cell>
          <cell r="P40" t="str">
            <v>v07</v>
          </cell>
        </row>
        <row r="41">
          <cell r="A41" t="str">
            <v>Double Wide Mobile Home</v>
          </cell>
          <cell r="B41" t="str">
            <v>DMO</v>
          </cell>
          <cell r="C41" t="str">
            <v>RMeasureDD</v>
          </cell>
          <cell r="D41">
            <v>1</v>
          </cell>
          <cell r="E41">
            <v>1</v>
          </cell>
          <cell r="F41">
            <v>0</v>
          </cell>
          <cell r="G41">
            <v>0</v>
          </cell>
          <cell r="H41">
            <v>0</v>
          </cell>
          <cell r="I41">
            <v>0</v>
          </cell>
          <cell r="J41">
            <v>0</v>
          </cell>
          <cell r="K41">
            <v>0</v>
          </cell>
          <cell r="L41">
            <v>1</v>
          </cell>
          <cell r="M41">
            <v>1</v>
          </cell>
          <cell r="N41" t="str">
            <v>-tWt</v>
          </cell>
          <cell r="O41">
            <v>26</v>
          </cell>
          <cell r="P41" t="str">
            <v>v06</v>
          </cell>
        </row>
        <row r="47">
          <cell r="A47" t="str">
            <v>Existing Buildings</v>
          </cell>
          <cell r="B47" t="str">
            <v>vPGx</v>
          </cell>
          <cell r="C47" t="str">
            <v>vSCx</v>
          </cell>
          <cell r="D47" t="str">
            <v>vSGx</v>
          </cell>
          <cell r="E47" t="str">
            <v>vSDx</v>
          </cell>
          <cell r="F47" t="str">
            <v>vEx</v>
          </cell>
          <cell r="G47" t="str">
            <v>ex</v>
          </cell>
        </row>
        <row r="48">
          <cell r="A48" t="str">
            <v>New Construction</v>
          </cell>
          <cell r="B48" t="str">
            <v>vN5</v>
          </cell>
          <cell r="C48" t="str">
            <v>vN5</v>
          </cell>
          <cell r="D48" t="str">
            <v>vN5</v>
          </cell>
          <cell r="E48" t="str">
            <v>vN5</v>
          </cell>
          <cell r="F48" t="str">
            <v>vN5</v>
          </cell>
          <cell r="G48" t="str">
            <v>new</v>
          </cell>
        </row>
        <row r="57">
          <cell r="B57" t="str">
            <v>Upgrade to CFL Bulbs (NonRes)</v>
          </cell>
          <cell r="C57" t="str">
            <v>ILtg-FixtPwr-Sec-100wIncRef100w-25wCFLRefSMg25w</v>
          </cell>
          <cell r="D57" t="str">
            <v>NRCFLBase</v>
          </cell>
          <cell r="E57" t="str">
            <v>vN5</v>
          </cell>
          <cell r="F57" t="str">
            <v>vN5</v>
          </cell>
        </row>
        <row r="58">
          <cell r="B58" t="str">
            <v>Exit Sign Upgrade</v>
          </cell>
          <cell r="C58" t="str">
            <v>ILtg-Power-Exit-60pct</v>
          </cell>
          <cell r="D58" t="str">
            <v>NRExitBase</v>
          </cell>
          <cell r="E58" t="str">
            <v>vN5</v>
          </cell>
          <cell r="F58" t="str">
            <v>vN5</v>
          </cell>
        </row>
        <row r="59">
          <cell r="B59" t="str">
            <v>Linear Fluorescent or HID Upgrade</v>
          </cell>
          <cell r="C59" t="str">
            <v>ILtg-LFluor-Prim-RplLPD-48in39wT12SMg60w-48in3g30wT8ESPISNEl27w</v>
          </cell>
          <cell r="D59" t="str">
            <v>NRLFLBase</v>
          </cell>
          <cell r="E59" t="str">
            <v>v07</v>
          </cell>
          <cell r="F59" t="str">
            <v>vN5</v>
          </cell>
        </row>
        <row r="60">
          <cell r="B60" t="str">
            <v>Upgrade to CFL Bulbs (Res)</v>
          </cell>
          <cell r="C60" t="str">
            <v>ILtg-CFL-Int-7W-Rpl-Prim</v>
          </cell>
          <cell r="D60" t="str">
            <v>RCFLBase</v>
          </cell>
          <cell r="E60" t="str">
            <v>v07</v>
          </cell>
          <cell r="F60" t="str">
            <v>vN5</v>
          </cell>
        </row>
        <row r="61">
          <cell r="B61" t="str">
            <v>Medium Refrigerator Replacement</v>
          </cell>
          <cell r="C61" t="str">
            <v>Appl-RefgFrzrRef-Refg-900kWh-500kWh</v>
          </cell>
          <cell r="D61" t="str">
            <v>RMedRFrBase</v>
          </cell>
          <cell r="E61" t="str">
            <v>v07</v>
          </cell>
          <cell r="F61" t="str">
            <v>vN5</v>
          </cell>
        </row>
        <row r="62">
          <cell r="B62" t="str">
            <v>Large Refrigerator Replacement</v>
          </cell>
          <cell r="C62" t="str">
            <v>Appl-RefgFrzrRef-Frzr-1400kWh-1000kWh</v>
          </cell>
          <cell r="D62" t="str">
            <v>RLgRFrBase</v>
          </cell>
          <cell r="E62" t="str">
            <v>v07</v>
          </cell>
          <cell r="F62" t="str">
            <v>vN5</v>
          </cell>
        </row>
        <row r="70">
          <cell r="B70" t="str">
            <v xml:space="preserve">Arcata Area (CZ01) </v>
          </cell>
          <cell r="C70" t="str">
            <v>w01</v>
          </cell>
          <cell r="D70">
            <v>1</v>
          </cell>
          <cell r="E70">
            <v>0</v>
          </cell>
          <cell r="F70">
            <v>0</v>
          </cell>
          <cell r="G70">
            <v>0</v>
          </cell>
        </row>
        <row r="71">
          <cell r="B71" t="str">
            <v xml:space="preserve">Santa Rosa Area (CZ02) </v>
          </cell>
          <cell r="C71" t="str">
            <v>w02</v>
          </cell>
          <cell r="D71">
            <v>1</v>
          </cell>
          <cell r="E71">
            <v>0</v>
          </cell>
          <cell r="F71">
            <v>0</v>
          </cell>
          <cell r="G71">
            <v>0</v>
          </cell>
        </row>
        <row r="72">
          <cell r="B72" t="str">
            <v xml:space="preserve">Oakland Area (CZ03) </v>
          </cell>
          <cell r="C72" t="str">
            <v>w03</v>
          </cell>
          <cell r="D72">
            <v>1</v>
          </cell>
          <cell r="E72">
            <v>0</v>
          </cell>
          <cell r="F72">
            <v>0</v>
          </cell>
          <cell r="G72">
            <v>0</v>
          </cell>
        </row>
        <row r="73">
          <cell r="B73" t="str">
            <v xml:space="preserve">Sunnyvale Area (CZ04) </v>
          </cell>
          <cell r="C73" t="str">
            <v>w04</v>
          </cell>
          <cell r="D73">
            <v>1</v>
          </cell>
          <cell r="E73">
            <v>0</v>
          </cell>
          <cell r="F73">
            <v>0</v>
          </cell>
          <cell r="G73">
            <v>0</v>
          </cell>
        </row>
        <row r="74">
          <cell r="B74" t="str">
            <v xml:space="preserve">Santa Maria Area (CZ05) </v>
          </cell>
          <cell r="C74" t="str">
            <v>w05</v>
          </cell>
          <cell r="D74">
            <v>1</v>
          </cell>
          <cell r="E74">
            <v>1</v>
          </cell>
          <cell r="F74">
            <v>1</v>
          </cell>
          <cell r="G74">
            <v>0</v>
          </cell>
        </row>
        <row r="75">
          <cell r="B75" t="str">
            <v xml:space="preserve">Los Angeles Area (CZ06) </v>
          </cell>
          <cell r="C75" t="str">
            <v>w06</v>
          </cell>
          <cell r="D75">
            <v>0</v>
          </cell>
          <cell r="E75">
            <v>1</v>
          </cell>
          <cell r="F75">
            <v>1</v>
          </cell>
          <cell r="G75">
            <v>1</v>
          </cell>
        </row>
        <row r="76">
          <cell r="B76" t="str">
            <v xml:space="preserve">San Diego Area (CZ07) </v>
          </cell>
          <cell r="C76" t="str">
            <v>w07</v>
          </cell>
          <cell r="D76">
            <v>0</v>
          </cell>
          <cell r="E76">
            <v>0</v>
          </cell>
          <cell r="F76">
            <v>0</v>
          </cell>
          <cell r="G76">
            <v>1</v>
          </cell>
        </row>
        <row r="77">
          <cell r="B77" t="str">
            <v xml:space="preserve">El Toro Area (CZ08) </v>
          </cell>
          <cell r="C77" t="str">
            <v>w08</v>
          </cell>
          <cell r="D77">
            <v>0</v>
          </cell>
          <cell r="E77">
            <v>1</v>
          </cell>
          <cell r="F77">
            <v>1</v>
          </cell>
          <cell r="G77">
            <v>1</v>
          </cell>
        </row>
        <row r="78">
          <cell r="B78" t="str">
            <v xml:space="preserve">Pasadena Area (CZ09) </v>
          </cell>
          <cell r="C78" t="str">
            <v>w09</v>
          </cell>
          <cell r="D78">
            <v>0</v>
          </cell>
          <cell r="E78">
            <v>1</v>
          </cell>
          <cell r="F78">
            <v>1</v>
          </cell>
          <cell r="G78">
            <v>0</v>
          </cell>
        </row>
        <row r="79">
          <cell r="B79" t="str">
            <v xml:space="preserve">San Bernardino Area (CZ10) </v>
          </cell>
          <cell r="C79" t="str">
            <v>w10</v>
          </cell>
          <cell r="D79">
            <v>0</v>
          </cell>
          <cell r="E79">
            <v>1</v>
          </cell>
          <cell r="F79">
            <v>1</v>
          </cell>
          <cell r="G79">
            <v>1</v>
          </cell>
        </row>
        <row r="80">
          <cell r="B80" t="str">
            <v xml:space="preserve">Red Bluff Area (CZ11) </v>
          </cell>
          <cell r="C80" t="str">
            <v>w11</v>
          </cell>
          <cell r="D80">
            <v>1</v>
          </cell>
          <cell r="E80">
            <v>0</v>
          </cell>
          <cell r="F80">
            <v>0</v>
          </cell>
          <cell r="G80">
            <v>0</v>
          </cell>
        </row>
        <row r="81">
          <cell r="B81" t="str">
            <v xml:space="preserve">Sacramento Area (CZ12) </v>
          </cell>
          <cell r="C81" t="str">
            <v>w12</v>
          </cell>
          <cell r="D81">
            <v>1</v>
          </cell>
          <cell r="E81">
            <v>0</v>
          </cell>
          <cell r="F81">
            <v>0</v>
          </cell>
          <cell r="G81">
            <v>0</v>
          </cell>
        </row>
        <row r="82">
          <cell r="B82" t="str">
            <v xml:space="preserve">Fresno Area (CZ13) </v>
          </cell>
          <cell r="C82" t="str">
            <v>w13</v>
          </cell>
          <cell r="D82">
            <v>1</v>
          </cell>
          <cell r="E82">
            <v>1</v>
          </cell>
          <cell r="F82">
            <v>1</v>
          </cell>
          <cell r="G82">
            <v>0</v>
          </cell>
        </row>
        <row r="83">
          <cell r="B83" t="str">
            <v xml:space="preserve">China Lake Area (CZ14) </v>
          </cell>
          <cell r="C83" t="str">
            <v>w14</v>
          </cell>
          <cell r="D83">
            <v>0</v>
          </cell>
          <cell r="E83">
            <v>1</v>
          </cell>
          <cell r="F83">
            <v>1</v>
          </cell>
          <cell r="G83">
            <v>1</v>
          </cell>
        </row>
        <row r="84">
          <cell r="B84" t="str">
            <v xml:space="preserve">Blythe Area (CZ15) </v>
          </cell>
          <cell r="C84" t="str">
            <v>w15</v>
          </cell>
          <cell r="D84">
            <v>0</v>
          </cell>
          <cell r="E84">
            <v>1</v>
          </cell>
          <cell r="F84">
            <v>1</v>
          </cell>
          <cell r="G84">
            <v>1</v>
          </cell>
        </row>
        <row r="85">
          <cell r="B85" t="str">
            <v xml:space="preserve">Mount Shasta Area (CZ16) </v>
          </cell>
          <cell r="C85" t="str">
            <v>w16</v>
          </cell>
          <cell r="D85">
            <v>1</v>
          </cell>
          <cell r="E85">
            <v>1</v>
          </cell>
          <cell r="F85">
            <v>1</v>
          </cell>
          <cell r="G85">
            <v>0</v>
          </cell>
        </row>
        <row r="86">
          <cell r="B86" t="str">
            <v>Whole Utility</v>
          </cell>
          <cell r="D86" t="str">
            <v>wPGE</v>
          </cell>
          <cell r="E86" t="str">
            <v>wSCE</v>
          </cell>
          <cell r="F86" t="str">
            <v>wSCG</v>
          </cell>
          <cell r="G86" t="str">
            <v>wSDGE</v>
          </cell>
        </row>
        <row r="91">
          <cell r="H91" t="str">
            <v>Customer Average</v>
          </cell>
          <cell r="I91" t="str">
            <v>CAv</v>
          </cell>
        </row>
        <row r="92">
          <cell r="H92" t="str">
            <v>2005 Code/Standard</v>
          </cell>
          <cell r="I92" t="str">
            <v>C05</v>
          </cell>
        </row>
        <row r="93">
          <cell r="H93" t="str">
            <v>2008 Code/Standard</v>
          </cell>
          <cell r="I93" t="str">
            <v>C08</v>
          </cell>
        </row>
        <row r="110">
          <cell r="A110" t="str">
            <v>(kWh/kWh)</v>
          </cell>
          <cell r="B110">
            <v>12</v>
          </cell>
        </row>
        <row r="111">
          <cell r="A111" t="str">
            <v>(therms/kWh)</v>
          </cell>
          <cell r="B111">
            <v>13</v>
          </cell>
        </row>
        <row r="112">
          <cell r="A112" t="str">
            <v>(kW/kW)</v>
          </cell>
          <cell r="B112">
            <v>17</v>
          </cell>
        </row>
        <row r="116">
          <cell r="A116" t="str">
            <v>GasPac</v>
          </cell>
          <cell r="B116">
            <v>1</v>
          </cell>
          <cell r="C116" t="str">
            <v>C</v>
          </cell>
        </row>
        <row r="117">
          <cell r="A117" t="str">
            <v>HP</v>
          </cell>
          <cell r="B117">
            <v>2</v>
          </cell>
          <cell r="C117" t="str">
            <v>C</v>
          </cell>
        </row>
        <row r="118">
          <cell r="A118" t="str">
            <v>PVAV</v>
          </cell>
          <cell r="B118">
            <v>7</v>
          </cell>
          <cell r="C118" t="str">
            <v>C</v>
          </cell>
        </row>
        <row r="119">
          <cell r="A119" t="str">
            <v>SVAV</v>
          </cell>
          <cell r="B119">
            <v>8</v>
          </cell>
          <cell r="C119" t="str">
            <v>C</v>
          </cell>
        </row>
        <row r="120">
          <cell r="A120" t="str">
            <v>WLHP</v>
          </cell>
          <cell r="B120">
            <v>3</v>
          </cell>
          <cell r="C120" t="str">
            <v>C</v>
          </cell>
        </row>
        <row r="121">
          <cell r="A121" t="str">
            <v>PSZElec</v>
          </cell>
          <cell r="B121">
            <v>4</v>
          </cell>
          <cell r="C121" t="str">
            <v>C</v>
          </cell>
        </row>
        <row r="122">
          <cell r="A122" t="str">
            <v>PVAVElec</v>
          </cell>
          <cell r="B122">
            <v>9</v>
          </cell>
          <cell r="C122" t="str">
            <v>C</v>
          </cell>
        </row>
        <row r="123">
          <cell r="A123" t="str">
            <v>SVAVElec</v>
          </cell>
          <cell r="B123">
            <v>10</v>
          </cell>
          <cell r="C123" t="str">
            <v>C</v>
          </cell>
        </row>
        <row r="124">
          <cell r="A124" t="str">
            <v>ElecHeat</v>
          </cell>
          <cell r="B124">
            <v>5</v>
          </cell>
          <cell r="C124" t="str">
            <v>H</v>
          </cell>
        </row>
        <row r="125">
          <cell r="A125" t="str">
            <v>GasFurn</v>
          </cell>
          <cell r="B125">
            <v>6</v>
          </cell>
          <cell r="C125" t="str">
            <v>H</v>
          </cell>
        </row>
        <row r="126">
          <cell r="A126" t="str">
            <v>DX/Other</v>
          </cell>
          <cell r="C126" t="str">
            <v>C</v>
          </cell>
        </row>
      </sheetData>
      <sheetData sheetId="5" refreshError="1">
        <row r="5">
          <cell r="B5" t="str">
            <v>PlcHldr</v>
          </cell>
          <cell r="C5" t="str">
            <v>w01</v>
          </cell>
          <cell r="D5" t="str">
            <v>w02</v>
          </cell>
          <cell r="E5" t="str">
            <v>w03</v>
          </cell>
          <cell r="F5" t="str">
            <v>w04</v>
          </cell>
          <cell r="G5" t="str">
            <v>w05</v>
          </cell>
          <cell r="H5" t="str">
            <v>w06</v>
          </cell>
          <cell r="I5" t="str">
            <v>w07</v>
          </cell>
          <cell r="J5" t="str">
            <v>w08</v>
          </cell>
          <cell r="K5" t="str">
            <v>w09</v>
          </cell>
          <cell r="L5" t="str">
            <v>w10</v>
          </cell>
          <cell r="M5" t="str">
            <v>w11</v>
          </cell>
          <cell r="N5" t="str">
            <v>w12</v>
          </cell>
          <cell r="O5" t="str">
            <v>w13</v>
          </cell>
          <cell r="P5" t="str">
            <v>w14</v>
          </cell>
          <cell r="Q5" t="str">
            <v>w15</v>
          </cell>
          <cell r="R5" t="str">
            <v>w16</v>
          </cell>
        </row>
        <row r="7">
          <cell r="B7" t="str">
            <v>Asm</v>
          </cell>
          <cell r="C7">
            <v>1</v>
          </cell>
          <cell r="D7">
            <v>1</v>
          </cell>
          <cell r="E7">
            <v>1</v>
          </cell>
          <cell r="F7">
            <v>1</v>
          </cell>
          <cell r="G7">
            <v>1</v>
          </cell>
          <cell r="H7">
            <v>1</v>
          </cell>
          <cell r="I7">
            <v>1</v>
          </cell>
          <cell r="J7">
            <v>1</v>
          </cell>
          <cell r="K7">
            <v>1</v>
          </cell>
          <cell r="L7">
            <v>1</v>
          </cell>
          <cell r="M7">
            <v>1</v>
          </cell>
          <cell r="N7">
            <v>1</v>
          </cell>
          <cell r="O7">
            <v>1</v>
          </cell>
          <cell r="P7">
            <v>1</v>
          </cell>
          <cell r="Q7">
            <v>1</v>
          </cell>
          <cell r="R7">
            <v>1</v>
          </cell>
        </row>
        <row r="8">
          <cell r="B8" t="str">
            <v>EPr</v>
          </cell>
          <cell r="C8">
            <v>1</v>
          </cell>
          <cell r="D8">
            <v>0</v>
          </cell>
          <cell r="E8">
            <v>0</v>
          </cell>
          <cell r="F8">
            <v>0</v>
          </cell>
          <cell r="G8">
            <v>1</v>
          </cell>
          <cell r="H8">
            <v>0</v>
          </cell>
          <cell r="I8">
            <v>1</v>
          </cell>
          <cell r="J8">
            <v>1</v>
          </cell>
          <cell r="K8">
            <v>0</v>
          </cell>
          <cell r="L8">
            <v>0</v>
          </cell>
          <cell r="M8">
            <v>0</v>
          </cell>
          <cell r="N8">
            <v>0</v>
          </cell>
          <cell r="O8">
            <v>0</v>
          </cell>
          <cell r="P8">
            <v>0</v>
          </cell>
          <cell r="Q8">
            <v>0</v>
          </cell>
          <cell r="R8">
            <v>0</v>
          </cell>
        </row>
        <row r="9">
          <cell r="B9" t="str">
            <v>ESe</v>
          </cell>
          <cell r="C9">
            <v>1</v>
          </cell>
          <cell r="D9">
            <v>0</v>
          </cell>
          <cell r="E9">
            <v>0</v>
          </cell>
          <cell r="F9">
            <v>0</v>
          </cell>
          <cell r="G9">
            <v>1</v>
          </cell>
          <cell r="H9">
            <v>0</v>
          </cell>
          <cell r="I9">
            <v>1</v>
          </cell>
          <cell r="J9">
            <v>1</v>
          </cell>
          <cell r="K9">
            <v>0</v>
          </cell>
          <cell r="L9">
            <v>0</v>
          </cell>
          <cell r="M9">
            <v>0</v>
          </cell>
          <cell r="N9">
            <v>0</v>
          </cell>
          <cell r="O9">
            <v>0</v>
          </cell>
          <cell r="P9">
            <v>0</v>
          </cell>
          <cell r="Q9">
            <v>0</v>
          </cell>
          <cell r="R9">
            <v>0</v>
          </cell>
        </row>
        <row r="10">
          <cell r="B10" t="str">
            <v>ECC</v>
          </cell>
          <cell r="C10">
            <v>1</v>
          </cell>
          <cell r="D10">
            <v>1</v>
          </cell>
          <cell r="E10">
            <v>1</v>
          </cell>
          <cell r="F10">
            <v>1</v>
          </cell>
          <cell r="G10">
            <v>1</v>
          </cell>
          <cell r="H10">
            <v>1</v>
          </cell>
          <cell r="I10">
            <v>1</v>
          </cell>
          <cell r="J10">
            <v>1</v>
          </cell>
          <cell r="K10">
            <v>1</v>
          </cell>
          <cell r="L10">
            <v>1</v>
          </cell>
          <cell r="M10">
            <v>1</v>
          </cell>
          <cell r="N10">
            <v>1</v>
          </cell>
          <cell r="O10">
            <v>0</v>
          </cell>
          <cell r="P10">
            <v>1</v>
          </cell>
          <cell r="Q10">
            <v>1</v>
          </cell>
          <cell r="R10">
            <v>1</v>
          </cell>
        </row>
        <row r="11">
          <cell r="B11" t="str">
            <v>EUn</v>
          </cell>
          <cell r="C11">
            <v>1</v>
          </cell>
          <cell r="D11">
            <v>1</v>
          </cell>
          <cell r="E11">
            <v>1</v>
          </cell>
          <cell r="F11">
            <v>1</v>
          </cell>
          <cell r="G11">
            <v>1</v>
          </cell>
          <cell r="H11">
            <v>1</v>
          </cell>
          <cell r="I11">
            <v>1</v>
          </cell>
          <cell r="J11">
            <v>1</v>
          </cell>
          <cell r="K11">
            <v>1</v>
          </cell>
          <cell r="L11">
            <v>1</v>
          </cell>
          <cell r="M11">
            <v>1</v>
          </cell>
          <cell r="N11">
            <v>1</v>
          </cell>
          <cell r="O11">
            <v>0</v>
          </cell>
          <cell r="P11">
            <v>1</v>
          </cell>
          <cell r="Q11">
            <v>1</v>
          </cell>
          <cell r="R11">
            <v>1</v>
          </cell>
        </row>
        <row r="12">
          <cell r="B12" t="str">
            <v>ERC</v>
          </cell>
          <cell r="C12">
            <v>1</v>
          </cell>
          <cell r="D12">
            <v>0</v>
          </cell>
          <cell r="E12">
            <v>0</v>
          </cell>
          <cell r="F12">
            <v>0</v>
          </cell>
          <cell r="G12">
            <v>1</v>
          </cell>
          <cell r="H12">
            <v>0</v>
          </cell>
          <cell r="I12">
            <v>1</v>
          </cell>
          <cell r="J12">
            <v>1</v>
          </cell>
          <cell r="K12">
            <v>0</v>
          </cell>
          <cell r="L12">
            <v>0</v>
          </cell>
          <cell r="M12">
            <v>0</v>
          </cell>
          <cell r="N12">
            <v>0</v>
          </cell>
          <cell r="O12">
            <v>0</v>
          </cell>
          <cell r="P12">
            <v>0</v>
          </cell>
          <cell r="Q12">
            <v>0</v>
          </cell>
          <cell r="R12">
            <v>0</v>
          </cell>
        </row>
        <row r="13">
          <cell r="B13" t="str">
            <v>Gro</v>
          </cell>
          <cell r="C13">
            <v>1</v>
          </cell>
          <cell r="D13">
            <v>1</v>
          </cell>
          <cell r="E13">
            <v>1</v>
          </cell>
          <cell r="F13">
            <v>1</v>
          </cell>
          <cell r="G13">
            <v>1</v>
          </cell>
          <cell r="H13">
            <v>1</v>
          </cell>
          <cell r="I13">
            <v>1</v>
          </cell>
          <cell r="J13">
            <v>1</v>
          </cell>
          <cell r="K13">
            <v>1</v>
          </cell>
          <cell r="L13">
            <v>1</v>
          </cell>
          <cell r="M13">
            <v>1</v>
          </cell>
          <cell r="N13">
            <v>1</v>
          </cell>
          <cell r="O13">
            <v>1</v>
          </cell>
          <cell r="P13">
            <v>1</v>
          </cell>
          <cell r="Q13">
            <v>1</v>
          </cell>
          <cell r="R13">
            <v>1</v>
          </cell>
        </row>
        <row r="14">
          <cell r="B14" t="str">
            <v>Hsp</v>
          </cell>
          <cell r="C14">
            <v>1</v>
          </cell>
          <cell r="D14">
            <v>1</v>
          </cell>
          <cell r="E14">
            <v>1</v>
          </cell>
          <cell r="F14">
            <v>1</v>
          </cell>
          <cell r="G14">
            <v>1</v>
          </cell>
          <cell r="H14">
            <v>1</v>
          </cell>
          <cell r="I14">
            <v>1</v>
          </cell>
          <cell r="J14">
            <v>1</v>
          </cell>
          <cell r="K14">
            <v>1</v>
          </cell>
          <cell r="L14">
            <v>1</v>
          </cell>
          <cell r="M14">
            <v>1</v>
          </cell>
          <cell r="N14">
            <v>1</v>
          </cell>
          <cell r="O14">
            <v>1</v>
          </cell>
          <cell r="P14">
            <v>1</v>
          </cell>
          <cell r="Q14">
            <v>1</v>
          </cell>
          <cell r="R14">
            <v>1</v>
          </cell>
        </row>
        <row r="15">
          <cell r="B15" t="str">
            <v>Nrs</v>
          </cell>
          <cell r="C15">
            <v>1</v>
          </cell>
          <cell r="D15">
            <v>1</v>
          </cell>
          <cell r="E15">
            <v>1</v>
          </cell>
          <cell r="F15">
            <v>1</v>
          </cell>
          <cell r="G15">
            <v>1</v>
          </cell>
          <cell r="H15">
            <v>1</v>
          </cell>
          <cell r="I15">
            <v>1</v>
          </cell>
          <cell r="J15">
            <v>1</v>
          </cell>
          <cell r="K15">
            <v>1</v>
          </cell>
          <cell r="L15">
            <v>1</v>
          </cell>
          <cell r="M15">
            <v>1</v>
          </cell>
          <cell r="N15">
            <v>1</v>
          </cell>
          <cell r="O15">
            <v>1</v>
          </cell>
          <cell r="P15">
            <v>1</v>
          </cell>
          <cell r="Q15">
            <v>1</v>
          </cell>
          <cell r="R15">
            <v>1</v>
          </cell>
        </row>
        <row r="16">
          <cell r="B16" t="str">
            <v>Htl</v>
          </cell>
          <cell r="C16">
            <v>1</v>
          </cell>
          <cell r="D16">
            <v>1</v>
          </cell>
          <cell r="E16">
            <v>1</v>
          </cell>
          <cell r="F16">
            <v>1</v>
          </cell>
          <cell r="G16">
            <v>1</v>
          </cell>
          <cell r="H16">
            <v>1</v>
          </cell>
          <cell r="I16">
            <v>1</v>
          </cell>
          <cell r="J16">
            <v>1</v>
          </cell>
          <cell r="K16">
            <v>1</v>
          </cell>
          <cell r="L16">
            <v>1</v>
          </cell>
          <cell r="M16">
            <v>1</v>
          </cell>
          <cell r="N16">
            <v>1</v>
          </cell>
          <cell r="O16">
            <v>1</v>
          </cell>
          <cell r="P16">
            <v>1</v>
          </cell>
          <cell r="Q16">
            <v>1</v>
          </cell>
          <cell r="R16">
            <v>1</v>
          </cell>
        </row>
        <row r="17">
          <cell r="B17" t="str">
            <v>Mtl</v>
          </cell>
          <cell r="C17">
            <v>1</v>
          </cell>
          <cell r="D17">
            <v>1</v>
          </cell>
          <cell r="E17">
            <v>1</v>
          </cell>
          <cell r="F17">
            <v>1</v>
          </cell>
          <cell r="G17">
            <v>1</v>
          </cell>
          <cell r="H17">
            <v>1</v>
          </cell>
          <cell r="I17">
            <v>1</v>
          </cell>
          <cell r="J17">
            <v>1</v>
          </cell>
          <cell r="K17">
            <v>1</v>
          </cell>
          <cell r="L17">
            <v>1</v>
          </cell>
          <cell r="M17">
            <v>1</v>
          </cell>
          <cell r="N17">
            <v>1</v>
          </cell>
          <cell r="O17">
            <v>1</v>
          </cell>
          <cell r="P17">
            <v>1</v>
          </cell>
          <cell r="Q17">
            <v>1</v>
          </cell>
          <cell r="R17">
            <v>1</v>
          </cell>
        </row>
        <row r="18">
          <cell r="B18" t="str">
            <v>MBT</v>
          </cell>
          <cell r="C18">
            <v>1</v>
          </cell>
          <cell r="D18">
            <v>1</v>
          </cell>
          <cell r="E18">
            <v>1</v>
          </cell>
          <cell r="F18">
            <v>1</v>
          </cell>
          <cell r="G18">
            <v>1</v>
          </cell>
          <cell r="H18">
            <v>1</v>
          </cell>
          <cell r="I18">
            <v>1</v>
          </cell>
          <cell r="J18">
            <v>1</v>
          </cell>
          <cell r="K18">
            <v>1</v>
          </cell>
          <cell r="L18">
            <v>1</v>
          </cell>
          <cell r="M18">
            <v>1</v>
          </cell>
          <cell r="N18">
            <v>1</v>
          </cell>
          <cell r="O18">
            <v>1</v>
          </cell>
          <cell r="P18">
            <v>1</v>
          </cell>
          <cell r="Q18">
            <v>1</v>
          </cell>
          <cell r="R18">
            <v>1</v>
          </cell>
        </row>
        <row r="19">
          <cell r="B19" t="str">
            <v>MLI</v>
          </cell>
          <cell r="C19">
            <v>1</v>
          </cell>
          <cell r="D19">
            <v>1</v>
          </cell>
          <cell r="E19">
            <v>1</v>
          </cell>
          <cell r="F19">
            <v>1</v>
          </cell>
          <cell r="G19">
            <v>1</v>
          </cell>
          <cell r="H19">
            <v>1</v>
          </cell>
          <cell r="I19">
            <v>1</v>
          </cell>
          <cell r="J19">
            <v>1</v>
          </cell>
          <cell r="K19">
            <v>1</v>
          </cell>
          <cell r="L19">
            <v>1</v>
          </cell>
          <cell r="M19">
            <v>1</v>
          </cell>
          <cell r="N19">
            <v>1</v>
          </cell>
          <cell r="O19">
            <v>1</v>
          </cell>
          <cell r="P19">
            <v>1</v>
          </cell>
          <cell r="Q19">
            <v>1</v>
          </cell>
          <cell r="R19">
            <v>1</v>
          </cell>
        </row>
        <row r="20">
          <cell r="B20" t="str">
            <v>OfL</v>
          </cell>
          <cell r="C20">
            <v>1</v>
          </cell>
          <cell r="D20">
            <v>1</v>
          </cell>
          <cell r="E20">
            <v>1</v>
          </cell>
          <cell r="F20">
            <v>1</v>
          </cell>
          <cell r="G20">
            <v>1</v>
          </cell>
          <cell r="H20">
            <v>1</v>
          </cell>
          <cell r="I20">
            <v>1</v>
          </cell>
          <cell r="J20">
            <v>1</v>
          </cell>
          <cell r="K20">
            <v>1</v>
          </cell>
          <cell r="L20">
            <v>1</v>
          </cell>
          <cell r="M20">
            <v>1</v>
          </cell>
          <cell r="N20">
            <v>1</v>
          </cell>
          <cell r="O20">
            <v>1</v>
          </cell>
          <cell r="P20">
            <v>1</v>
          </cell>
          <cell r="Q20">
            <v>1</v>
          </cell>
          <cell r="R20">
            <v>1</v>
          </cell>
        </row>
        <row r="21">
          <cell r="B21" t="str">
            <v>OfS</v>
          </cell>
          <cell r="C21">
            <v>1</v>
          </cell>
          <cell r="D21">
            <v>1</v>
          </cell>
          <cell r="E21">
            <v>1</v>
          </cell>
          <cell r="F21">
            <v>1</v>
          </cell>
          <cell r="G21">
            <v>1</v>
          </cell>
          <cell r="H21">
            <v>1</v>
          </cell>
          <cell r="I21">
            <v>1</v>
          </cell>
          <cell r="J21">
            <v>1</v>
          </cell>
          <cell r="K21">
            <v>1</v>
          </cell>
          <cell r="L21">
            <v>1</v>
          </cell>
          <cell r="M21">
            <v>1</v>
          </cell>
          <cell r="N21">
            <v>1</v>
          </cell>
          <cell r="O21">
            <v>1</v>
          </cell>
          <cell r="P21">
            <v>1</v>
          </cell>
          <cell r="Q21">
            <v>1</v>
          </cell>
          <cell r="R21">
            <v>1</v>
          </cell>
        </row>
        <row r="22">
          <cell r="B22" t="str">
            <v>RSD</v>
          </cell>
          <cell r="C22">
            <v>1</v>
          </cell>
          <cell r="D22">
            <v>1</v>
          </cell>
          <cell r="E22">
            <v>1</v>
          </cell>
          <cell r="F22">
            <v>1</v>
          </cell>
          <cell r="G22">
            <v>1</v>
          </cell>
          <cell r="H22">
            <v>1</v>
          </cell>
          <cell r="I22">
            <v>1</v>
          </cell>
          <cell r="J22">
            <v>1</v>
          </cell>
          <cell r="K22">
            <v>1</v>
          </cell>
          <cell r="L22">
            <v>1</v>
          </cell>
          <cell r="M22">
            <v>1</v>
          </cell>
          <cell r="N22">
            <v>1</v>
          </cell>
          <cell r="O22">
            <v>1</v>
          </cell>
          <cell r="P22">
            <v>1</v>
          </cell>
          <cell r="Q22">
            <v>1</v>
          </cell>
          <cell r="R22">
            <v>1</v>
          </cell>
        </row>
        <row r="23">
          <cell r="B23" t="str">
            <v>RFF</v>
          </cell>
          <cell r="C23">
            <v>1</v>
          </cell>
          <cell r="D23">
            <v>1</v>
          </cell>
          <cell r="E23">
            <v>1</v>
          </cell>
          <cell r="F23">
            <v>1</v>
          </cell>
          <cell r="G23">
            <v>1</v>
          </cell>
          <cell r="H23">
            <v>1</v>
          </cell>
          <cell r="I23">
            <v>1</v>
          </cell>
          <cell r="J23">
            <v>1</v>
          </cell>
          <cell r="K23">
            <v>1</v>
          </cell>
          <cell r="L23">
            <v>1</v>
          </cell>
          <cell r="M23">
            <v>1</v>
          </cell>
          <cell r="N23">
            <v>1</v>
          </cell>
          <cell r="O23">
            <v>1</v>
          </cell>
          <cell r="P23">
            <v>1</v>
          </cell>
          <cell r="Q23">
            <v>1</v>
          </cell>
          <cell r="R23">
            <v>1</v>
          </cell>
        </row>
        <row r="24">
          <cell r="B24" t="str">
            <v>Rt3</v>
          </cell>
          <cell r="C24">
            <v>1</v>
          </cell>
          <cell r="D24">
            <v>1</v>
          </cell>
          <cell r="E24">
            <v>1</v>
          </cell>
          <cell r="F24">
            <v>1</v>
          </cell>
          <cell r="G24">
            <v>1</v>
          </cell>
          <cell r="H24">
            <v>1</v>
          </cell>
          <cell r="I24">
            <v>1</v>
          </cell>
          <cell r="J24">
            <v>1</v>
          </cell>
          <cell r="K24">
            <v>1</v>
          </cell>
          <cell r="L24">
            <v>1</v>
          </cell>
          <cell r="M24">
            <v>1</v>
          </cell>
          <cell r="N24">
            <v>1</v>
          </cell>
          <cell r="O24">
            <v>1</v>
          </cell>
          <cell r="P24">
            <v>1</v>
          </cell>
          <cell r="Q24">
            <v>1</v>
          </cell>
          <cell r="R24">
            <v>1</v>
          </cell>
        </row>
        <row r="25">
          <cell r="B25" t="str">
            <v>RtL</v>
          </cell>
          <cell r="C25">
            <v>1</v>
          </cell>
          <cell r="D25">
            <v>1</v>
          </cell>
          <cell r="E25">
            <v>1</v>
          </cell>
          <cell r="F25">
            <v>1</v>
          </cell>
          <cell r="G25">
            <v>1</v>
          </cell>
          <cell r="H25">
            <v>1</v>
          </cell>
          <cell r="I25">
            <v>1</v>
          </cell>
          <cell r="J25">
            <v>1</v>
          </cell>
          <cell r="K25">
            <v>1</v>
          </cell>
          <cell r="L25">
            <v>1</v>
          </cell>
          <cell r="M25">
            <v>1</v>
          </cell>
          <cell r="N25">
            <v>1</v>
          </cell>
          <cell r="O25">
            <v>1</v>
          </cell>
          <cell r="P25">
            <v>1</v>
          </cell>
          <cell r="Q25">
            <v>1</v>
          </cell>
          <cell r="R25">
            <v>1</v>
          </cell>
        </row>
        <row r="26">
          <cell r="B26" t="str">
            <v>RtS</v>
          </cell>
          <cell r="C26">
            <v>1</v>
          </cell>
          <cell r="D26">
            <v>1</v>
          </cell>
          <cell r="E26">
            <v>1</v>
          </cell>
          <cell r="F26">
            <v>1</v>
          </cell>
          <cell r="G26">
            <v>1</v>
          </cell>
          <cell r="H26">
            <v>1</v>
          </cell>
          <cell r="I26">
            <v>1</v>
          </cell>
          <cell r="J26">
            <v>1</v>
          </cell>
          <cell r="K26">
            <v>1</v>
          </cell>
          <cell r="L26">
            <v>1</v>
          </cell>
          <cell r="M26">
            <v>1</v>
          </cell>
          <cell r="N26">
            <v>1</v>
          </cell>
          <cell r="O26">
            <v>1</v>
          </cell>
          <cell r="P26">
            <v>1</v>
          </cell>
          <cell r="Q26">
            <v>1</v>
          </cell>
          <cell r="R26">
            <v>1</v>
          </cell>
        </row>
        <row r="27">
          <cell r="B27" t="str">
            <v>SCn</v>
          </cell>
          <cell r="C27">
            <v>1</v>
          </cell>
          <cell r="D27">
            <v>1</v>
          </cell>
          <cell r="E27">
            <v>1</v>
          </cell>
          <cell r="F27">
            <v>1</v>
          </cell>
          <cell r="G27">
            <v>1</v>
          </cell>
          <cell r="H27">
            <v>1</v>
          </cell>
          <cell r="I27">
            <v>1</v>
          </cell>
          <cell r="J27">
            <v>1</v>
          </cell>
          <cell r="K27">
            <v>1</v>
          </cell>
          <cell r="L27">
            <v>1</v>
          </cell>
          <cell r="M27">
            <v>1</v>
          </cell>
          <cell r="N27">
            <v>1</v>
          </cell>
          <cell r="O27">
            <v>1</v>
          </cell>
          <cell r="P27">
            <v>1</v>
          </cell>
          <cell r="Q27">
            <v>1</v>
          </cell>
          <cell r="R27">
            <v>1</v>
          </cell>
        </row>
        <row r="28">
          <cell r="B28" t="str">
            <v>SUn</v>
          </cell>
          <cell r="C28">
            <v>1</v>
          </cell>
          <cell r="D28">
            <v>1</v>
          </cell>
          <cell r="E28">
            <v>1</v>
          </cell>
          <cell r="F28">
            <v>1</v>
          </cell>
          <cell r="G28">
            <v>1</v>
          </cell>
          <cell r="H28">
            <v>1</v>
          </cell>
          <cell r="I28">
            <v>1</v>
          </cell>
          <cell r="J28">
            <v>1</v>
          </cell>
          <cell r="K28">
            <v>1</v>
          </cell>
          <cell r="L28">
            <v>1</v>
          </cell>
          <cell r="M28">
            <v>1</v>
          </cell>
          <cell r="N28">
            <v>1</v>
          </cell>
          <cell r="O28">
            <v>1</v>
          </cell>
          <cell r="P28">
            <v>1</v>
          </cell>
          <cell r="Q28">
            <v>1</v>
          </cell>
          <cell r="R28">
            <v>1</v>
          </cell>
        </row>
        <row r="29">
          <cell r="B29" t="str">
            <v>WRf</v>
          </cell>
          <cell r="C29">
            <v>1</v>
          </cell>
          <cell r="D29">
            <v>1</v>
          </cell>
          <cell r="E29">
            <v>1</v>
          </cell>
          <cell r="F29">
            <v>1</v>
          </cell>
          <cell r="G29">
            <v>1</v>
          </cell>
          <cell r="H29">
            <v>1</v>
          </cell>
          <cell r="I29">
            <v>1</v>
          </cell>
          <cell r="J29">
            <v>1</v>
          </cell>
          <cell r="K29">
            <v>1</v>
          </cell>
          <cell r="L29">
            <v>1</v>
          </cell>
          <cell r="M29">
            <v>1</v>
          </cell>
          <cell r="N29">
            <v>1</v>
          </cell>
          <cell r="O29">
            <v>1</v>
          </cell>
          <cell r="P29">
            <v>1</v>
          </cell>
          <cell r="Q29">
            <v>1</v>
          </cell>
          <cell r="R29">
            <v>1</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
      <sheetName val="Summary from ED"/>
      <sheetName val="All Data"/>
      <sheetName val="Lookup Table"/>
      <sheetName val="key"/>
      <sheetName val="Calculations"/>
      <sheetName val="WP"/>
      <sheetName val="MeasureList"/>
      <sheetName val="Wattages"/>
      <sheetName val="Costs"/>
      <sheetName val="Drop down"/>
      <sheetName val="Validations"/>
      <sheetName val="WP OTR Default Scenarios"/>
      <sheetName val="Unit definitions"/>
    </sheetNames>
    <sheetDataSet>
      <sheetData sheetId="0"/>
      <sheetData sheetId="1">
        <row r="13">
          <cell r="C13">
            <v>0</v>
          </cell>
        </row>
      </sheetData>
      <sheetData sheetId="2"/>
      <sheetData sheetId="3"/>
      <sheetData sheetId="4"/>
      <sheetData sheetId="5"/>
      <sheetData sheetId="6"/>
      <sheetData sheetId="7">
        <row r="36">
          <cell r="B36">
            <v>24</v>
          </cell>
        </row>
      </sheetData>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
      <sheetName val="Summary from ED"/>
      <sheetName val="All Data"/>
      <sheetName val="Lookup Table"/>
      <sheetName val="key"/>
      <sheetName val="Calculations"/>
      <sheetName val="WP"/>
      <sheetName val="MeasureList"/>
      <sheetName val="Wattages"/>
      <sheetName val="Costs"/>
      <sheetName val="Drop down"/>
      <sheetName val="Validations"/>
      <sheetName val="WP OTR Default Scenarios"/>
      <sheetName val="Unit definitions"/>
    </sheetNames>
    <sheetDataSet>
      <sheetData sheetId="0"/>
      <sheetData sheetId="1">
        <row r="13">
          <cell r="C13">
            <v>0</v>
          </cell>
        </row>
      </sheetData>
      <sheetData sheetId="2"/>
      <sheetData sheetId="3"/>
      <sheetData sheetId="4"/>
      <sheetData sheetId="5"/>
      <sheetData sheetId="6"/>
      <sheetData sheetId="7">
        <row r="36">
          <cell r="B36">
            <v>24</v>
          </cell>
        </row>
      </sheetData>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vision History"/>
      <sheetName val="Data Sources"/>
      <sheetName val="Summary Table - Impacts"/>
      <sheetName val="Summary Table - Cost-NTG"/>
      <sheetName val="Measure List"/>
      <sheetName val="Matrix Permutations"/>
      <sheetName val="Lookup Info"/>
      <sheetName val="E3 Alt. BT"/>
      <sheetName val="CPUC End Use"/>
      <sheetName val="Cost Multipliers"/>
      <sheetName val="Impact Matrix"/>
      <sheetName val="Cost - NTG Matrix"/>
      <sheetName val="MMDB Input - Impact"/>
      <sheetName val="MMDB Input - Cost"/>
      <sheetName val="CFL IE v2.0"/>
      <sheetName val="Non-CFL IE v2.0"/>
      <sheetName val="Exit IE v2.0"/>
      <sheetName val="WIP v0 0 - Calculation Template"/>
    </sheetNames>
    <sheetDataSet>
      <sheetData sheetId="0"/>
      <sheetData sheetId="1"/>
      <sheetData sheetId="2"/>
      <sheetData sheetId="3"/>
      <sheetData sheetId="4"/>
      <sheetData sheetId="5"/>
      <sheetData sheetId="6">
        <row r="2">
          <cell r="A2" t="str">
            <v>&lt;65K_AC_Pckg-NC</v>
          </cell>
          <cell r="C2" t="str">
            <v>NEW</v>
          </cell>
          <cell r="F2" t="str">
            <v>Agricultural</v>
          </cell>
          <cell r="N2" t="str">
            <v>DEER</v>
          </cell>
          <cell r="P2" t="str">
            <v>DEER</v>
          </cell>
          <cell r="R2" t="str">
            <v>DEER</v>
          </cell>
          <cell r="T2" t="str">
            <v>CFL</v>
          </cell>
          <cell r="V2" t="str">
            <v>Appliance Turn-in and Recycling / Down-Stream Incentive - Deemed</v>
          </cell>
          <cell r="Y2" t="str">
            <v>Yes</v>
          </cell>
          <cell r="AA2" t="str">
            <v>New Measure</v>
          </cell>
          <cell r="AC2" t="str">
            <v>N/A</v>
          </cell>
          <cell r="AH2" t="str">
            <v>Res - Central AC with Gas Gurnace</v>
          </cell>
          <cell r="AK2" t="str">
            <v>Agr-DripIrr</v>
          </cell>
        </row>
        <row r="3">
          <cell r="A3" t="str">
            <v>&lt;65K_AC_Split-NC</v>
          </cell>
          <cell r="C3" t="str">
            <v>ROB</v>
          </cell>
          <cell r="F3" t="str">
            <v>Assembly</v>
          </cell>
          <cell r="N3" t="str">
            <v>Exterior/None</v>
          </cell>
          <cell r="P3" t="str">
            <v>Night Operation</v>
          </cell>
          <cell r="R3" t="str">
            <v>Res - Interior - Common</v>
          </cell>
          <cell r="T3" t="str">
            <v>Non-CFL</v>
          </cell>
          <cell r="V3" t="str">
            <v>Audit/Information -Testing Services / Other</v>
          </cell>
          <cell r="Y3" t="str">
            <v>No</v>
          </cell>
          <cell r="AA3" t="str">
            <v>No Change</v>
          </cell>
          <cell r="AC3" t="str">
            <v>New Permutations</v>
          </cell>
          <cell r="AH3" t="str">
            <v>Res - No Cooling, Gas Furnace</v>
          </cell>
          <cell r="AK3" t="str">
            <v>Agr-GHC</v>
          </cell>
        </row>
        <row r="4">
          <cell r="A4" t="str">
            <v>&lt;65K_EvapCool-NC</v>
          </cell>
          <cell r="C4" t="str">
            <v>RET</v>
          </cell>
          <cell r="F4" t="str">
            <v>Education - Primary School</v>
          </cell>
          <cell r="N4" t="str">
            <v>Res - Interior - Common</v>
          </cell>
          <cell r="P4" t="str">
            <v>12 Hour Op.</v>
          </cell>
          <cell r="R4" t="str">
            <v>Night Operation</v>
          </cell>
          <cell r="T4" t="str">
            <v>Exit</v>
          </cell>
          <cell r="V4" t="str">
            <v>Commissioning / Down-Stream Incentive - Calculated</v>
          </cell>
          <cell r="AA4" t="str">
            <v>Measure Modified</v>
          </cell>
          <cell r="AC4" t="str">
            <v>Revise Assumptions</v>
          </cell>
          <cell r="AH4" t="str">
            <v>Res - No Cooling, Electric Baseboard Heating</v>
          </cell>
          <cell r="AK4" t="str">
            <v>Agr-Irfilm</v>
          </cell>
        </row>
        <row r="5">
          <cell r="A5" t="str">
            <v>&gt;135K_Air_AC-NC</v>
          </cell>
          <cell r="C5" t="str">
            <v>REA</v>
          </cell>
          <cell r="F5" t="str">
            <v>Education - Secondary School</v>
          </cell>
          <cell r="P5" t="str">
            <v>14 Hour Op.</v>
          </cell>
          <cell r="V5" t="str">
            <v>Commissioning / Down-Stream Incentive - Deemed</v>
          </cell>
          <cell r="AH5" t="str">
            <v>Res - Central Heat Pump with Electric Resistance Backup</v>
          </cell>
          <cell r="AK5" t="str">
            <v>Agr-LPSNperm</v>
          </cell>
        </row>
        <row r="6">
          <cell r="A6" t="str">
            <v>&gt;135K_Wtr_AC-NC</v>
          </cell>
          <cell r="F6" t="str">
            <v>Education - Relocatable Classroom</v>
          </cell>
          <cell r="P6" t="str">
            <v>16 Hour Op.</v>
          </cell>
          <cell r="V6" t="str">
            <v>Financial Support / Direct Install</v>
          </cell>
          <cell r="AH6" t="str">
            <v>Res - Evaporative Cooling with Separate Gas Furnace</v>
          </cell>
          <cell r="AK6" t="str">
            <v>Agr-LPSNport</v>
          </cell>
        </row>
        <row r="7">
          <cell r="A7" t="str">
            <v>65K-135_Wtr_AC-NC</v>
          </cell>
          <cell r="F7" t="str">
            <v>Education - Community College</v>
          </cell>
          <cell r="P7" t="str">
            <v>18 Hour Op.</v>
          </cell>
          <cell r="V7" t="str">
            <v>Financial Support / Down-Stream Incentive - Calculated</v>
          </cell>
          <cell r="AH7" t="str">
            <v>Res - All applicable Residential HVAC types</v>
          </cell>
          <cell r="AK7" t="str">
            <v>Agr-MilkPreCool</v>
          </cell>
        </row>
        <row r="8">
          <cell r="A8" t="str">
            <v>65K-135K_Air_AC-NC</v>
          </cell>
          <cell r="F8" t="str">
            <v>Education - University</v>
          </cell>
          <cell r="P8" t="str">
            <v>20 Hour Op.</v>
          </cell>
          <cell r="V8" t="str">
            <v>Financial Support / Down-Stream Incentive - Deemed</v>
          </cell>
          <cell r="AH8" t="str">
            <v>Res - Standard Weights Applied to Residential HVAC Types</v>
          </cell>
          <cell r="AK8" t="str">
            <v>Agr-VSDmilkTrnsfr</v>
          </cell>
        </row>
        <row r="9">
          <cell r="A9" t="str">
            <v>AC_Cooling-RC</v>
          </cell>
          <cell r="F9" t="str">
            <v>Grocery</v>
          </cell>
          <cell r="P9" t="str">
            <v>22 Hour Op.</v>
          </cell>
          <cell r="V9" t="str">
            <v>Financial Support / Exchange - Replacement</v>
          </cell>
          <cell r="AH9" t="str">
            <v>Com - All Applicable Commercial HVAC Types</v>
          </cell>
          <cell r="AK9" t="str">
            <v>Agr-VSDmilkVcm</v>
          </cell>
        </row>
        <row r="10">
          <cell r="A10" t="str">
            <v>AC-NC</v>
          </cell>
          <cell r="F10" t="str">
            <v>Food Store</v>
          </cell>
          <cell r="P10" t="str">
            <v>24 Hour Op.</v>
          </cell>
          <cell r="V10" t="str">
            <v>Financial Support / Giveaway</v>
          </cell>
          <cell r="AH10" t="str">
            <v>Com - Split or Packaged Direct Expansion Unit with Gas Furnace</v>
          </cell>
          <cell r="AK10" t="str">
            <v>Agr-VSDWellPmp</v>
          </cell>
        </row>
        <row r="11">
          <cell r="A11" t="str">
            <v>Ag &amp; Water Pumping</v>
          </cell>
          <cell r="F11" t="str">
            <v>Health/Medical - Hospital</v>
          </cell>
          <cell r="P11" t="str">
            <v>Res - Interior - Dwelling</v>
          </cell>
          <cell r="V11" t="str">
            <v>Financial Support / On-bill Finance - loan</v>
          </cell>
          <cell r="AH11" t="str">
            <v>Com - Split or Packaged Direct Expansion Unit with Electric Heat</v>
          </cell>
          <cell r="AK11" t="str">
            <v>Agr-WineTnkIns</v>
          </cell>
        </row>
        <row r="12">
          <cell r="A12" t="str">
            <v>CFL-RC</v>
          </cell>
          <cell r="F12" t="str">
            <v>Health/Medical - Nursing Home</v>
          </cell>
          <cell r="P12" t="str">
            <v>Res - Interior - Common</v>
          </cell>
          <cell r="V12" t="str">
            <v>Innovative Design / Direct Install</v>
          </cell>
          <cell r="AH12" t="str">
            <v>Com - Split or Packaged Direct Expansion Unit with Heat Pump</v>
          </cell>
          <cell r="AK12" t="str">
            <v>Appl-EffCW</v>
          </cell>
        </row>
        <row r="13">
          <cell r="A13" t="str">
            <v>Commercial Whole Building</v>
          </cell>
          <cell r="F13" t="str">
            <v>Health/Medical - Clinic</v>
          </cell>
          <cell r="P13" t="str">
            <v>Res - Exterior - Dwelling</v>
          </cell>
          <cell r="V13" t="str">
            <v>Innovative Design / Down-Stream Incentive - Deemed</v>
          </cell>
          <cell r="AH13" t="str">
            <v>Com - Water Loop Heat Pump</v>
          </cell>
          <cell r="AK13" t="str">
            <v>Appl-EffDW</v>
          </cell>
        </row>
        <row r="14">
          <cell r="A14" t="str">
            <v>DayLt &amp; Controls</v>
          </cell>
          <cell r="F14" t="str">
            <v>Lodging - Hotel</v>
          </cell>
          <cell r="P14" t="str">
            <v>Res - Exterior - Common</v>
          </cell>
          <cell r="V14" t="str">
            <v>Innovative Design / Mid-Stream Incentive</v>
          </cell>
          <cell r="AH14" t="str">
            <v>Com - No Cooling with Electric Heat</v>
          </cell>
          <cell r="AK14" t="str">
            <v>Appl-ESFrzr</v>
          </cell>
        </row>
        <row r="15">
          <cell r="A15" t="str">
            <v>DayLt_Cntrl-NC</v>
          </cell>
          <cell r="F15" t="str">
            <v>Lodging - Guest Rooms</v>
          </cell>
          <cell r="V15" t="str">
            <v>Innovative Design / On-bill Finance - loan</v>
          </cell>
          <cell r="AH15" t="str">
            <v>Com - No Cooling with Gas Furnace</v>
          </cell>
          <cell r="AK15" t="str">
            <v>Appl-ESRefg</v>
          </cell>
        </row>
        <row r="16">
          <cell r="A16" t="str">
            <v>DEER:HVAC_Chillers</v>
          </cell>
          <cell r="F16" t="str">
            <v>Lodging - Motel</v>
          </cell>
          <cell r="V16" t="str">
            <v>Innovative Design / Up-Stream Incentive</v>
          </cell>
          <cell r="AH16" t="str">
            <v>Com - Packaged Variable Air Volume System with Gas Furnace</v>
          </cell>
          <cell r="AK16" t="str">
            <v>Appl-RecFrzr</v>
          </cell>
        </row>
        <row r="17">
          <cell r="A17" t="str">
            <v>DEER:HVAC_Duct_Sealing</v>
          </cell>
          <cell r="F17" t="str">
            <v>Manufacturing - Bio/Tech</v>
          </cell>
          <cell r="V17" t="str">
            <v>Midstream Programs / Mid-Stream Incentive</v>
          </cell>
          <cell r="AH17" t="str">
            <v>Com - Packaged Variable Air Volume System with Electric Heat</v>
          </cell>
          <cell r="AK17" t="str">
            <v>Appl-RecRef</v>
          </cell>
        </row>
        <row r="18">
          <cell r="A18" t="str">
            <v>DEER:HVAC_Eff_AC</v>
          </cell>
          <cell r="F18" t="str">
            <v>Manufacturing - Light Industrial</v>
          </cell>
          <cell r="V18" t="str">
            <v>Partnership / Direct Install</v>
          </cell>
          <cell r="AH18" t="str">
            <v>Com - Built-Up Variable Air Volume System with Gas Boiler</v>
          </cell>
          <cell r="AK18" t="str">
            <v>BldgEnv-CoolRoof</v>
          </cell>
        </row>
        <row r="19">
          <cell r="A19" t="str">
            <v>DEER:HVAC_Eff_HP</v>
          </cell>
          <cell r="F19" t="str">
            <v>Industrial</v>
          </cell>
          <cell r="V19" t="str">
            <v>Partnership / Down-Stream Incentive - Calculated</v>
          </cell>
          <cell r="AH19" t="str">
            <v>Com - Built-Up Variable Air Volume System with Electric Reheat</v>
          </cell>
          <cell r="AK19" t="str">
            <v>BldgEnv-FlrIns</v>
          </cell>
        </row>
        <row r="20">
          <cell r="A20" t="str">
            <v>DEER:HVAC_Refrig_Charge</v>
          </cell>
          <cell r="F20" t="str">
            <v>Misc - Commercial</v>
          </cell>
          <cell r="V20" t="str">
            <v>Partnership / Down-Stream Incentive - Deemed</v>
          </cell>
          <cell r="AH20" t="str">
            <v>Com - No HVAC (Unconditioned)</v>
          </cell>
          <cell r="AK20" t="str">
            <v>BldgEnv-RoofIns</v>
          </cell>
        </row>
        <row r="21">
          <cell r="A21" t="str">
            <v>DEER:HVAC_Split-Package_AC</v>
          </cell>
          <cell r="F21" t="str">
            <v>Office - Large</v>
          </cell>
          <cell r="V21" t="str">
            <v>Partnership / Exchange - Replacement</v>
          </cell>
          <cell r="AH21" t="str">
            <v>Com - Packaged Terminal Air Conditioner</v>
          </cell>
          <cell r="AK21" t="str">
            <v>BS-BlowInIns</v>
          </cell>
        </row>
        <row r="22">
          <cell r="A22" t="str">
            <v>DEER:HVAC_Split-Package_HP</v>
          </cell>
          <cell r="F22" t="str">
            <v>Office - Small</v>
          </cell>
          <cell r="V22" t="str">
            <v>Partnership / Giveaway</v>
          </cell>
          <cell r="AH22" t="str">
            <v>Com - Packaged Terminal Heat Pump</v>
          </cell>
          <cell r="AK22" t="str">
            <v>BS-CeilIns</v>
          </cell>
        </row>
        <row r="23">
          <cell r="A23" t="str">
            <v>DEER:Indoor_CFL_Ltg</v>
          </cell>
          <cell r="F23" t="str">
            <v>Restaurant - Fast-Food</v>
          </cell>
          <cell r="V23" t="str">
            <v>Partnership / On-bill Finance - Loan</v>
          </cell>
          <cell r="AH23" t="str">
            <v>Com - Four Pipe Fan Coil</v>
          </cell>
          <cell r="AK23" t="str">
            <v>BS-CoolAttic</v>
          </cell>
        </row>
        <row r="24">
          <cell r="A24" t="str">
            <v>DEER:Indoor_Non-CFL_Ltg</v>
          </cell>
          <cell r="F24" t="str">
            <v>Restaurant - Sit-Down</v>
          </cell>
          <cell r="V24" t="str">
            <v>Upstream Programs / Up-Stream Buy Down</v>
          </cell>
          <cell r="AH24" t="str">
            <v>Com - Dual Duct System</v>
          </cell>
          <cell r="AK24" t="str">
            <v>BS-FlrIns</v>
          </cell>
        </row>
        <row r="25">
          <cell r="A25" t="str">
            <v>DEER:Refg_Chrg_Duct_Seal</v>
          </cell>
          <cell r="F25" t="str">
            <v>Retail - Multistory Large</v>
          </cell>
          <cell r="V25" t="str">
            <v>Upstream Programs / Up-Stream Incentive</v>
          </cell>
          <cell r="AH25" t="str">
            <v>Com - Evaporative Cooling with Separate Gas Furnace</v>
          </cell>
          <cell r="AK25" t="str">
            <v>BS-LtRoof</v>
          </cell>
        </row>
        <row r="26">
          <cell r="A26" t="str">
            <v>DEER:RefgFrzr_HighEff</v>
          </cell>
          <cell r="F26" t="str">
            <v>Retail - Single-Story Large</v>
          </cell>
          <cell r="AH26" t="str">
            <v>Com - Standard Weights Applied to Commercial HVAC Types</v>
          </cell>
          <cell r="AK26" t="str">
            <v>BS-LtWalls</v>
          </cell>
        </row>
        <row r="27">
          <cell r="A27" t="str">
            <v>DEER:RefgFrzr_Recyc-Conditioned</v>
          </cell>
          <cell r="F27" t="str">
            <v>Retail - Small</v>
          </cell>
          <cell r="AH27" t="str">
            <v>Ag - Overhead Gas Furnace</v>
          </cell>
          <cell r="AK27" t="str">
            <v>BS-WallIns</v>
          </cell>
        </row>
        <row r="28">
          <cell r="A28" t="str">
            <v>DEER:RefgFrzr_Recycling</v>
          </cell>
          <cell r="F28" t="str">
            <v>Storage - Conditioned</v>
          </cell>
          <cell r="AH28" t="str">
            <v>Ag - Radiant Heat</v>
          </cell>
          <cell r="AK28" t="str">
            <v>BS-Win</v>
          </cell>
        </row>
        <row r="29">
          <cell r="A29" t="str">
            <v>DEER:RefgFrzr_Recyc-UnConditioned</v>
          </cell>
          <cell r="F29" t="str">
            <v>Storage - Unconditioned</v>
          </cell>
          <cell r="AH29" t="str">
            <v>CC - Any HVAC Type</v>
          </cell>
          <cell r="AK29" t="str">
            <v>BS-WinFilm</v>
          </cell>
        </row>
        <row r="30">
          <cell r="A30" t="str">
            <v>DHW HtPmp</v>
          </cell>
          <cell r="F30" t="str">
            <v>Transportation - Communication - Utilities</v>
          </cell>
          <cell r="AH30" t="str">
            <v>CC - All Applicable HVAC Types</v>
          </cell>
          <cell r="AK30" t="str">
            <v>BS-Wthr</v>
          </cell>
        </row>
        <row r="31">
          <cell r="A31" t="str">
            <v>Economy_cycle-Ret</v>
          </cell>
          <cell r="F31" t="str">
            <v>Warehouse - Refrigerated</v>
          </cell>
          <cell r="AH31" t="str">
            <v>CC - Typical, or Weighted, HVAC Type for the Building Type</v>
          </cell>
          <cell r="AK31" t="str">
            <v>BS-WthrEvap</v>
          </cell>
        </row>
        <row r="32">
          <cell r="A32" t="str">
            <v>Evap_Cooling-Ret</v>
          </cell>
          <cell r="F32" t="str">
            <v>Residential Single Family</v>
          </cell>
          <cell r="AK32" t="str">
            <v>ComLau-EffCW</v>
          </cell>
        </row>
        <row r="33">
          <cell r="A33" t="str">
            <v>Frig Barrier</v>
          </cell>
          <cell r="F33" t="str">
            <v>Residential Multi-family</v>
          </cell>
          <cell r="AK33" t="str">
            <v>Cook-ElecCombOven</v>
          </cell>
        </row>
        <row r="34">
          <cell r="A34" t="str">
            <v>Heat_Pump-NC</v>
          </cell>
          <cell r="F34" t="str">
            <v>Residential Mobile Home - Double-Wide</v>
          </cell>
          <cell r="AK34" t="str">
            <v>Cook-ElecConvOven</v>
          </cell>
        </row>
        <row r="35">
          <cell r="A35" t="str">
            <v>HeatPump_Heating_Only-RC</v>
          </cell>
          <cell r="AK35" t="str">
            <v>Cook-ElecFryer</v>
          </cell>
        </row>
        <row r="36">
          <cell r="A36" t="str">
            <v>HeatPump_ThroughWall-RC</v>
          </cell>
          <cell r="AK36" t="str">
            <v>Cook-ElecGriddle</v>
          </cell>
        </row>
        <row r="37">
          <cell r="A37" t="str">
            <v>HeatPump_WtrHt-RC</v>
          </cell>
          <cell r="AK37" t="str">
            <v>Cook-ElecStmCooker</v>
          </cell>
        </row>
        <row r="38">
          <cell r="A38" t="str">
            <v>Hi_Eff_AC_Mtr-NC</v>
          </cell>
          <cell r="AK38" t="str">
            <v>Cook-GasCombOVen</v>
          </cell>
        </row>
        <row r="39">
          <cell r="A39" t="str">
            <v>Hi_Perf_Glass-NC</v>
          </cell>
          <cell r="AK39" t="str">
            <v>Cook-GasConvOven</v>
          </cell>
        </row>
        <row r="40">
          <cell r="A40" t="str">
            <v>HorizAxisClothesWasher-RC</v>
          </cell>
          <cell r="AK40" t="str">
            <v>Cook-GasFryer</v>
          </cell>
        </row>
        <row r="41">
          <cell r="A41" t="str">
            <v>IndoorLt</v>
          </cell>
          <cell r="AK41" t="str">
            <v>Cook-GasGriddle</v>
          </cell>
        </row>
        <row r="42">
          <cell r="A42" t="str">
            <v>Industrial</v>
          </cell>
          <cell r="AK42" t="str">
            <v>Cook-GasRackOven</v>
          </cell>
        </row>
        <row r="43">
          <cell r="A43" t="str">
            <v>Lighting-NC</v>
          </cell>
          <cell r="AK43" t="str">
            <v>Cook-GasStmCooker</v>
          </cell>
        </row>
        <row r="44">
          <cell r="A44" t="str">
            <v>Lo_Gain_Wndw-NC</v>
          </cell>
          <cell r="AK44" t="str">
            <v>Cook-GDRef</v>
          </cell>
        </row>
        <row r="45">
          <cell r="A45" t="str">
            <v>Lower_Cond_temp-Ret</v>
          </cell>
          <cell r="AK45" t="str">
            <v>Cook-HoldCab</v>
          </cell>
        </row>
        <row r="46">
          <cell r="A46" t="str">
            <v>New_AC-Ret</v>
          </cell>
          <cell r="AK46" t="str">
            <v>Cook-IceMach</v>
          </cell>
        </row>
        <row r="47">
          <cell r="A47" t="str">
            <v>New_HtPmp-Ret</v>
          </cell>
          <cell r="AK47" t="str">
            <v>Cook-SDFreez</v>
          </cell>
        </row>
        <row r="48">
          <cell r="A48" t="str">
            <v>Occupancy Sensor</v>
          </cell>
          <cell r="AK48" t="str">
            <v>Cook-SDRef</v>
          </cell>
        </row>
        <row r="49">
          <cell r="A49" t="str">
            <v>Outdoor Lt</v>
          </cell>
          <cell r="AK49" t="str">
            <v>Cook-VatFryer</v>
          </cell>
        </row>
        <row r="50">
          <cell r="A50" t="str">
            <v>Package_AC-NC</v>
          </cell>
          <cell r="AK50" t="str">
            <v>GlazDaylt-Dayltg</v>
          </cell>
        </row>
        <row r="51">
          <cell r="A51" t="str">
            <v>Perimter Lt Control</v>
          </cell>
          <cell r="AK51" t="str">
            <v>GlazDaylt-HPWinDaylt</v>
          </cell>
        </row>
        <row r="52">
          <cell r="A52" t="str">
            <v>Pool HtPmp</v>
          </cell>
          <cell r="AK52" t="str">
            <v>GlazDaylt-LoSHGC</v>
          </cell>
        </row>
        <row r="53">
          <cell r="A53" t="str">
            <v>Reduce_Cooling_Load-Ret</v>
          </cell>
          <cell r="AK53" t="str">
            <v>GlazDaylt-WinFilm</v>
          </cell>
        </row>
        <row r="54">
          <cell r="A54" t="str">
            <v>Refrigeration</v>
          </cell>
          <cell r="AK54" t="str">
            <v>GrocDisp-ASH</v>
          </cell>
        </row>
        <row r="55">
          <cell r="A55" t="str">
            <v>Refrig-RC</v>
          </cell>
          <cell r="AK55" t="str">
            <v>GrocDisp-DispCvrs</v>
          </cell>
        </row>
        <row r="56">
          <cell r="A56" t="str">
            <v>Replace_Chiller-Ret</v>
          </cell>
          <cell r="AK56" t="str">
            <v>GrocDisp-DispLtgCtrl</v>
          </cell>
        </row>
        <row r="57">
          <cell r="A57" t="str">
            <v>Residential Pool Pumps</v>
          </cell>
          <cell r="AK57" t="str">
            <v>GrocDisp-FEvapFanMtr</v>
          </cell>
        </row>
        <row r="58">
          <cell r="A58" t="str">
            <v>Roof_insul-Ret</v>
          </cell>
          <cell r="AK58" t="str">
            <v>GrocDisp-FixtDoors</v>
          </cell>
        </row>
        <row r="59">
          <cell r="A59" t="str">
            <v>Var_Spd_AC_Mtr-NC</v>
          </cell>
          <cell r="AK59" t="str">
            <v>GrocDisp-FixtDrGask</v>
          </cell>
        </row>
        <row r="60">
          <cell r="A60" t="str">
            <v>Wall_insul-Ret</v>
          </cell>
          <cell r="AK60" t="str">
            <v>GrocDisp-FixtLtg-LED</v>
          </cell>
        </row>
        <row r="61">
          <cell r="A61" t="str">
            <v>Window_Tint-Ret</v>
          </cell>
          <cell r="AK61" t="str">
            <v>GrocDisp-ZeroHtDrs</v>
          </cell>
        </row>
        <row r="62">
          <cell r="A62" t="str">
            <v>Wtr_Cool_Chiller-NC</v>
          </cell>
          <cell r="AK62" t="str">
            <v>GrocSys-Cndsr</v>
          </cell>
        </row>
        <row r="63">
          <cell r="AK63" t="str">
            <v>GrocSys-FltHdPres</v>
          </cell>
        </row>
        <row r="64">
          <cell r="AK64" t="str">
            <v>GrocSys-FltSucPres</v>
          </cell>
        </row>
        <row r="65">
          <cell r="AK65" t="str">
            <v>GrocSys-HtRecov</v>
          </cell>
        </row>
        <row r="66">
          <cell r="AK66" t="str">
            <v>GrocSys-MechSubcl</v>
          </cell>
        </row>
        <row r="67">
          <cell r="AK67" t="str">
            <v>GrocSys-Retro</v>
          </cell>
        </row>
        <row r="68">
          <cell r="AK68" t="str">
            <v>GrocWlkIn-DrClsr</v>
          </cell>
        </row>
        <row r="69">
          <cell r="AK69" t="str">
            <v>GrocWlkIn-StripCrtn</v>
          </cell>
        </row>
        <row r="70">
          <cell r="AK70" t="str">
            <v>GrocWlkIn-WDrGask</v>
          </cell>
        </row>
        <row r="71">
          <cell r="AK71" t="str">
            <v>GrocWlkIn-WEvapFanMtr</v>
          </cell>
        </row>
        <row r="72">
          <cell r="AK72" t="str">
            <v>GrocWlkIn-WEvapFMtrCtrl</v>
          </cell>
        </row>
        <row r="73">
          <cell r="AK73" t="str">
            <v>HVAC-2Spd</v>
          </cell>
        </row>
        <row r="74">
          <cell r="AK74" t="str">
            <v>HVAC-addEcono</v>
          </cell>
        </row>
        <row r="75">
          <cell r="AK75" t="str">
            <v>HVAC-airAC</v>
          </cell>
        </row>
        <row r="76">
          <cell r="AK76" t="str">
            <v>HVAC-airHP</v>
          </cell>
        </row>
        <row r="77">
          <cell r="AK77" t="str">
            <v>HVAC-AtoAHtExchng</v>
          </cell>
        </row>
        <row r="78">
          <cell r="AK78" t="str">
            <v>HVAC-Blr</v>
          </cell>
        </row>
        <row r="79">
          <cell r="AK79" t="str">
            <v>HVAC-Chlr</v>
          </cell>
        </row>
        <row r="80">
          <cell r="AK80" t="str">
            <v>HVAC-ChlrComp</v>
          </cell>
        </row>
        <row r="81">
          <cell r="AK81" t="str">
            <v>HVAC-ClnCondCoils</v>
          </cell>
        </row>
        <row r="82">
          <cell r="AK82" t="str">
            <v>HVAC-ClTwrPkgSys</v>
          </cell>
        </row>
        <row r="83">
          <cell r="AK83" t="str">
            <v>HVAC-DuctInsul</v>
          </cell>
        </row>
        <row r="84">
          <cell r="AK84" t="str">
            <v>HVAC-DuctSeal</v>
          </cell>
        </row>
        <row r="85">
          <cell r="AK85" t="str">
            <v>HVAC-EMS</v>
          </cell>
        </row>
        <row r="86">
          <cell r="AK86" t="str">
            <v>HVAC-evapAC</v>
          </cell>
        </row>
        <row r="87">
          <cell r="AK87" t="str">
            <v>HVAC-EvapCool</v>
          </cell>
        </row>
        <row r="88">
          <cell r="AK88" t="str">
            <v>HVAC-FanPwrdMix</v>
          </cell>
        </row>
        <row r="89">
          <cell r="AK89" t="str">
            <v>HVAC-Frnc</v>
          </cell>
        </row>
        <row r="90">
          <cell r="AK90" t="str">
            <v>HVAC-HydHPVarFlow</v>
          </cell>
        </row>
        <row r="91">
          <cell r="AK91" t="str">
            <v>HVAC-ProgTStats</v>
          </cell>
        </row>
        <row r="92">
          <cell r="AK92" t="str">
            <v>HVAC-PTAC</v>
          </cell>
        </row>
        <row r="93">
          <cell r="AK93" t="str">
            <v>HVAC-PTACCtrl</v>
          </cell>
        </row>
        <row r="94">
          <cell r="AK94" t="str">
            <v>HVAC-PTHP</v>
          </cell>
        </row>
        <row r="95">
          <cell r="AK95" t="str">
            <v>HVAC-RedcOverVent</v>
          </cell>
        </row>
        <row r="96">
          <cell r="AK96" t="str">
            <v>HVAC-RefChg</v>
          </cell>
        </row>
        <row r="97">
          <cell r="AK97" t="str">
            <v>HVAC-repEcono</v>
          </cell>
        </row>
        <row r="98">
          <cell r="AK98" t="str">
            <v>HVAC-Reset</v>
          </cell>
        </row>
        <row r="99">
          <cell r="AK99" t="str">
            <v>HVAC-RotHtRecov</v>
          </cell>
        </row>
        <row r="100">
          <cell r="AK100" t="str">
            <v>HVAC-StmTrp</v>
          </cell>
        </row>
        <row r="101">
          <cell r="AK101" t="str">
            <v>HVAC-Timeclocks</v>
          </cell>
        </row>
        <row r="102">
          <cell r="AK102" t="str">
            <v>HVAC-VarFlow</v>
          </cell>
        </row>
        <row r="103">
          <cell r="AK103" t="str">
            <v>HVAC-VAVBox</v>
          </cell>
        </row>
        <row r="104">
          <cell r="AK104" t="str">
            <v>HVAC-VSD-fan</v>
          </cell>
        </row>
        <row r="105">
          <cell r="AK105" t="str">
            <v>HVAC-VSD-pump</v>
          </cell>
        </row>
        <row r="106">
          <cell r="AK106" t="str">
            <v>HVAC-VSDSupFan</v>
          </cell>
        </row>
        <row r="107">
          <cell r="AK107" t="str">
            <v>HVAC-WSHP</v>
          </cell>
        </row>
        <row r="108">
          <cell r="AK108" t="str">
            <v>HVAC-wtrAC</v>
          </cell>
        </row>
        <row r="109">
          <cell r="AK109" t="str">
            <v>HVAC-WtrEcon</v>
          </cell>
        </row>
        <row r="110">
          <cell r="AK110" t="str">
            <v>HV-DuctSeal</v>
          </cell>
        </row>
        <row r="111">
          <cell r="AK111" t="str">
            <v>HV-EffFurn</v>
          </cell>
        </row>
        <row r="112">
          <cell r="AK112" t="str">
            <v>HV-Evap</v>
          </cell>
        </row>
        <row r="113">
          <cell r="AK113" t="str">
            <v>HV-MFRefChrg</v>
          </cell>
        </row>
        <row r="114">
          <cell r="AK114" t="str">
            <v>HV-MHRefChrg</v>
          </cell>
        </row>
        <row r="115">
          <cell r="AK115" t="str">
            <v>HV-ProgTstat</v>
          </cell>
        </row>
        <row r="116">
          <cell r="AK116" t="str">
            <v>HV-RAC-ES</v>
          </cell>
        </row>
        <row r="117">
          <cell r="AK117" t="str">
            <v>HV-RAC-RUL</v>
          </cell>
        </row>
        <row r="118">
          <cell r="AK118" t="str">
            <v>HV-RefChrg</v>
          </cell>
        </row>
        <row r="119">
          <cell r="AK119" t="str">
            <v>HV-ResAC</v>
          </cell>
        </row>
        <row r="120">
          <cell r="AK120" t="str">
            <v>HV-ResAC-CleanCoil</v>
          </cell>
        </row>
        <row r="121">
          <cell r="AK121" t="str">
            <v>HV-ResEvapAC</v>
          </cell>
        </row>
        <row r="122">
          <cell r="AK122" t="str">
            <v>HV-ResHP</v>
          </cell>
        </row>
        <row r="123">
          <cell r="AK123" t="str">
            <v>HV-SFRefChrg</v>
          </cell>
        </row>
        <row r="124">
          <cell r="AK124" t="str">
            <v>HV-WHfan</v>
          </cell>
        </row>
        <row r="125">
          <cell r="AK125" t="str">
            <v>ILtg-CFL</v>
          </cell>
        </row>
        <row r="126">
          <cell r="AK126" t="str">
            <v>ILtg-CFLfix</v>
          </cell>
        </row>
        <row r="127">
          <cell r="AK127" t="str">
            <v>ILtg-Exit</v>
          </cell>
        </row>
        <row r="128">
          <cell r="AK128" t="str">
            <v>ILtg-HPS</v>
          </cell>
        </row>
        <row r="129">
          <cell r="AK129" t="str">
            <v>ILtg-LED</v>
          </cell>
        </row>
        <row r="130">
          <cell r="AK130" t="str">
            <v>ILtg-LED-seas</v>
          </cell>
        </row>
        <row r="131">
          <cell r="AK131" t="str">
            <v>ILtg-Lfluor-CommArea</v>
          </cell>
        </row>
        <row r="132">
          <cell r="AK132" t="str">
            <v>ILtg-Lfluor-Elec</v>
          </cell>
        </row>
        <row r="133">
          <cell r="AK133" t="str">
            <v>ILtg-Lfluor-fix</v>
          </cell>
        </row>
        <row r="134">
          <cell r="AK134" t="str">
            <v>ILtg-Lfluor-Mag</v>
          </cell>
        </row>
        <row r="135">
          <cell r="AK135" t="str">
            <v>ILtg-Lfluor-T12Mag</v>
          </cell>
        </row>
        <row r="136">
          <cell r="AK136" t="str">
            <v>ILtg-MH</v>
          </cell>
        </row>
        <row r="137">
          <cell r="AK137" t="str">
            <v>ILtg-OccSens</v>
          </cell>
        </row>
        <row r="138">
          <cell r="AK138" t="str">
            <v>ILtg-T5</v>
          </cell>
        </row>
        <row r="139">
          <cell r="AK139" t="str">
            <v>ILtg-TmClck</v>
          </cell>
        </row>
        <row r="140">
          <cell r="AK140" t="str">
            <v>Motors-fan</v>
          </cell>
        </row>
        <row r="141">
          <cell r="AK141" t="str">
            <v>Motors-HiEff</v>
          </cell>
        </row>
        <row r="142">
          <cell r="AK142" t="str">
            <v>Motors-pump</v>
          </cell>
        </row>
        <row r="143">
          <cell r="AK143" t="str">
            <v>Non-DEER</v>
          </cell>
        </row>
        <row r="144">
          <cell r="AK144" t="str">
            <v>OLtg-All-TmClk</v>
          </cell>
        </row>
        <row r="145">
          <cell r="AK145" t="str">
            <v>OLtg-All-TmClkPhoto</v>
          </cell>
        </row>
        <row r="146">
          <cell r="AK146" t="str">
            <v>OLtg-CFL</v>
          </cell>
        </row>
        <row r="147">
          <cell r="AK147" t="str">
            <v>OLtg-CFLfix</v>
          </cell>
        </row>
        <row r="148">
          <cell r="AK148" t="str">
            <v>OLtg-HID</v>
          </cell>
        </row>
        <row r="149">
          <cell r="AK149" t="str">
            <v>OLtg-HPS</v>
          </cell>
        </row>
        <row r="150">
          <cell r="AK150" t="str">
            <v>Oltg-LED</v>
          </cell>
        </row>
        <row r="151">
          <cell r="AK151" t="str">
            <v>OLtg-LFluor</v>
          </cell>
        </row>
        <row r="152">
          <cell r="AK152" t="str">
            <v>OLtg-LFluor-CommArea</v>
          </cell>
        </row>
        <row r="153">
          <cell r="AK153" t="str">
            <v>OLtg-Lfluor-Mag</v>
          </cell>
        </row>
        <row r="154">
          <cell r="AK154" t="str">
            <v>OLtg-MH</v>
          </cell>
        </row>
        <row r="155">
          <cell r="AK155" t="str">
            <v>OLtg-T5</v>
          </cell>
        </row>
        <row r="156">
          <cell r="AK156" t="str">
            <v>OLtg-TmClck</v>
          </cell>
        </row>
        <row r="157">
          <cell r="AK157" t="str">
            <v>OutD-PoolPump</v>
          </cell>
        </row>
        <row r="158">
          <cell r="AK158" t="str">
            <v>Plug-80plus</v>
          </cell>
        </row>
        <row r="159">
          <cell r="AK159" t="str">
            <v>Plug-HiEffCopier</v>
          </cell>
        </row>
        <row r="160">
          <cell r="AK160" t="str">
            <v>Plug-OccSens</v>
          </cell>
        </row>
        <row r="161">
          <cell r="AK161" t="str">
            <v>Plug-VendCtrler</v>
          </cell>
        </row>
        <row r="162">
          <cell r="AK162" t="str">
            <v>PrcHt-Blr</v>
          </cell>
        </row>
        <row r="163">
          <cell r="AK163" t="str">
            <v>PrcHt-StmTrp</v>
          </cell>
        </row>
        <row r="164">
          <cell r="AK164" t="str">
            <v>RefgWrhs-Comp</v>
          </cell>
        </row>
        <row r="165">
          <cell r="AK165" t="str">
            <v>RefgWrhs-Cond</v>
          </cell>
        </row>
        <row r="166">
          <cell r="AK166" t="str">
            <v>RefgWrhs-FltHdPres</v>
          </cell>
        </row>
        <row r="167">
          <cell r="AK167" t="str">
            <v>RefgWrhs-FltSucPres</v>
          </cell>
        </row>
        <row r="168">
          <cell r="AK168" t="str">
            <v>RefgWrhs-Retro</v>
          </cell>
        </row>
        <row r="169">
          <cell r="AK169" t="str">
            <v>RefgWrhs-ScrollComp</v>
          </cell>
        </row>
        <row r="170">
          <cell r="AK170" t="str">
            <v>RefgWrhs-SLIns</v>
          </cell>
        </row>
        <row r="171">
          <cell r="AK171" t="str">
            <v>RefgWrhs-SubClr</v>
          </cell>
        </row>
        <row r="172">
          <cell r="AK172" t="str">
            <v>WtrHt-CntLrgInst-Elec</v>
          </cell>
        </row>
        <row r="173">
          <cell r="AK173" t="str">
            <v>WtrHt-CntLrgInst-Gas</v>
          </cell>
        </row>
        <row r="174">
          <cell r="AK174" t="str">
            <v>WtrHt-CntLrgStrg-Elec</v>
          </cell>
        </row>
        <row r="175">
          <cell r="AK175" t="str">
            <v>WtrHt-CntLrgStrg-Gas</v>
          </cell>
        </row>
        <row r="176">
          <cell r="AK176" t="str">
            <v>WtrHt-CntMedInst-Elec</v>
          </cell>
        </row>
        <row r="177">
          <cell r="AK177" t="str">
            <v>WtrHt-Cntrl-Gas</v>
          </cell>
        </row>
        <row r="178">
          <cell r="AK178" t="str">
            <v>WtrHt-CntSmlInst-Elec</v>
          </cell>
        </row>
        <row r="179">
          <cell r="AK179" t="str">
            <v>WtrHt-CntSmlInst-Gas</v>
          </cell>
        </row>
        <row r="180">
          <cell r="AK180" t="str">
            <v>WtrHt-CntSmlStrg-Elec</v>
          </cell>
        </row>
        <row r="181">
          <cell r="AK181" t="str">
            <v>WtrHt-CntSmlStrg-Gas</v>
          </cell>
        </row>
        <row r="182">
          <cell r="AK182" t="str">
            <v>WtrHt-GPoolHtr</v>
          </cell>
        </row>
        <row r="183">
          <cell r="AK183" t="str">
            <v>WtrHt-HtPmp</v>
          </cell>
        </row>
        <row r="184">
          <cell r="AK184" t="str">
            <v>WtrHt-LrgInst-Elec</v>
          </cell>
        </row>
        <row r="185">
          <cell r="AK185" t="str">
            <v>WtrHt-LrgInst-Gas</v>
          </cell>
        </row>
        <row r="186">
          <cell r="AK186" t="str">
            <v>WtrHt-LrgStrg-Elec</v>
          </cell>
        </row>
        <row r="187">
          <cell r="AK187" t="str">
            <v>WtrHt-LrgStrg-Gas</v>
          </cell>
        </row>
        <row r="188">
          <cell r="AK188" t="str">
            <v>WtrHt-MedInst</v>
          </cell>
        </row>
        <row r="189">
          <cell r="AK189" t="str">
            <v>WtrHt-PipeIns-Elec</v>
          </cell>
        </row>
        <row r="190">
          <cell r="AK190" t="str">
            <v>WtrHt-PipeIns-Gas</v>
          </cell>
        </row>
        <row r="191">
          <cell r="AK191" t="str">
            <v>WtrHt-SmlInst</v>
          </cell>
        </row>
        <row r="192">
          <cell r="AK192" t="str">
            <v>WtrHt-SmlInst+C521</v>
          </cell>
        </row>
        <row r="193">
          <cell r="AK193" t="str">
            <v>WtrHt-SmlStrg-Elec</v>
          </cell>
        </row>
        <row r="194">
          <cell r="AK194" t="str">
            <v>WtrHt-SmlStrg-Elec</v>
          </cell>
        </row>
        <row r="195">
          <cell r="AK195" t="str">
            <v>WtrHt-SmlStrg-Gas</v>
          </cell>
        </row>
        <row r="196">
          <cell r="AK196" t="str">
            <v>WtrHt-SmlStrg-Gas</v>
          </cell>
        </row>
        <row r="197">
          <cell r="AK197" t="str">
            <v>WtrHt-SWH</v>
          </cell>
        </row>
        <row r="198">
          <cell r="AK198" t="str">
            <v>WtrHt-TankIns-Elec</v>
          </cell>
        </row>
        <row r="199">
          <cell r="AK199" t="str">
            <v>WtrHt-TankIns-Gas</v>
          </cell>
        </row>
        <row r="200">
          <cell r="AK200" t="str">
            <v>WtrHt-Timeclock</v>
          </cell>
        </row>
        <row r="201">
          <cell r="AK201" t="str">
            <v>WtrHt-WH-Aertr</v>
          </cell>
        </row>
        <row r="202">
          <cell r="AK202" t="str">
            <v>WtrHt-WH-R4PipeIns-Elec</v>
          </cell>
        </row>
        <row r="203">
          <cell r="AK203" t="str">
            <v>WtrHt-WH-R4PipeIns-Gas</v>
          </cell>
        </row>
        <row r="204">
          <cell r="AK204" t="str">
            <v>WtrHt-WH-Shrhd</v>
          </cell>
        </row>
      </sheetData>
      <sheetData sheetId="7"/>
      <sheetData sheetId="8">
        <row r="3">
          <cell r="B3" t="str">
            <v>Appliances</v>
          </cell>
        </row>
        <row r="4">
          <cell r="B4" t="str">
            <v>Audits</v>
          </cell>
        </row>
        <row r="5">
          <cell r="B5" t="str">
            <v>Building Envelope</v>
          </cell>
        </row>
        <row r="6">
          <cell r="B6" t="str">
            <v>Consumer Electronics</v>
          </cell>
        </row>
        <row r="7">
          <cell r="B7" t="str">
            <v>Foodservice</v>
          </cell>
        </row>
        <row r="8">
          <cell r="B8" t="str">
            <v>HVAC</v>
          </cell>
        </row>
        <row r="9">
          <cell r="B9" t="str">
            <v>Lighting</v>
          </cell>
        </row>
        <row r="10">
          <cell r="B10" t="str">
            <v>Motors</v>
          </cell>
        </row>
        <row r="11">
          <cell r="B11" t="str">
            <v>Office Equipment</v>
          </cell>
        </row>
        <row r="12">
          <cell r="B12" t="str">
            <v>Process</v>
          </cell>
        </row>
        <row r="13">
          <cell r="B13" t="str">
            <v>Pumping</v>
          </cell>
        </row>
        <row r="14">
          <cell r="B14" t="str">
            <v>Refrigeration</v>
          </cell>
        </row>
        <row r="15">
          <cell r="B15" t="str">
            <v>Water Heating</v>
          </cell>
        </row>
        <row r="16">
          <cell r="B16" t="str">
            <v>Whole Building</v>
          </cell>
        </row>
        <row r="17">
          <cell r="B17" t="str">
            <v>Not Necessary/Not Applicable</v>
          </cell>
        </row>
      </sheetData>
      <sheetData sheetId="9"/>
      <sheetData sheetId="10"/>
      <sheetData sheetId="11"/>
      <sheetData sheetId="12"/>
      <sheetData sheetId="13"/>
      <sheetData sheetId="14"/>
      <sheetData sheetId="15"/>
      <sheetData sheetId="16"/>
      <sheetData sheetId="1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vision History"/>
      <sheetName val="Data Sources"/>
      <sheetName val="Summary Table - Impacts"/>
      <sheetName val="Summary Table - Cost-NTG"/>
      <sheetName val="Measure List"/>
      <sheetName val="Matrix Permutations"/>
      <sheetName val="Lookup Info"/>
      <sheetName val="E3 Alt. BT"/>
      <sheetName val="CPUC End Use"/>
      <sheetName val="Cost Multipliers"/>
      <sheetName val="Impact Matrix"/>
      <sheetName val="Cost - NTG Matrix"/>
      <sheetName val="MMDB Input - Impact"/>
      <sheetName val="MMDB Input - Cost"/>
      <sheetName val="CFL IE v2.0"/>
      <sheetName val="Non-CFL IE v2.0"/>
      <sheetName val="Exit IE v2.0"/>
      <sheetName val="WIP v0 0 - Calculation Template"/>
    </sheetNames>
    <sheetDataSet>
      <sheetData sheetId="0"/>
      <sheetData sheetId="1"/>
      <sheetData sheetId="2"/>
      <sheetData sheetId="3"/>
      <sheetData sheetId="4"/>
      <sheetData sheetId="5"/>
      <sheetData sheetId="6">
        <row r="2">
          <cell r="A2" t="str">
            <v>&lt;65K_AC_Pckg-NC</v>
          </cell>
          <cell r="C2" t="str">
            <v>NEW</v>
          </cell>
          <cell r="F2" t="str">
            <v>Agricultural</v>
          </cell>
          <cell r="N2" t="str">
            <v>DEER</v>
          </cell>
          <cell r="P2" t="str">
            <v>DEER</v>
          </cell>
          <cell r="R2" t="str">
            <v>DEER</v>
          </cell>
          <cell r="T2" t="str">
            <v>CFL</v>
          </cell>
          <cell r="V2" t="str">
            <v>Appliance Turn-in and Recycling / Down-Stream Incentive - Deemed</v>
          </cell>
          <cell r="AA2" t="str">
            <v>New Measure</v>
          </cell>
          <cell r="AC2" t="str">
            <v>N/A</v>
          </cell>
          <cell r="AH2" t="str">
            <v>Res - Central AC with Gas Gurnace</v>
          </cell>
          <cell r="AK2" t="str">
            <v>Agr-DripIrr</v>
          </cell>
        </row>
        <row r="3">
          <cell r="A3" t="str">
            <v>&lt;65K_AC_Split-NC</v>
          </cell>
          <cell r="C3" t="str">
            <v>ROB</v>
          </cell>
          <cell r="F3" t="str">
            <v>Assembly</v>
          </cell>
          <cell r="N3" t="str">
            <v>Exterior/None</v>
          </cell>
          <cell r="P3" t="str">
            <v>Night Operation</v>
          </cell>
          <cell r="R3" t="str">
            <v>Res - Interior - Common</v>
          </cell>
          <cell r="T3" t="str">
            <v>Non-CFL</v>
          </cell>
          <cell r="V3" t="str">
            <v>Audit/Information -Testing Services / Other</v>
          </cell>
          <cell r="AA3" t="str">
            <v>No Change</v>
          </cell>
          <cell r="AC3" t="str">
            <v>New Permutations</v>
          </cell>
          <cell r="AH3" t="str">
            <v>Res - No Cooling, Gas Furnace</v>
          </cell>
          <cell r="AK3" t="str">
            <v>Agr-GHC</v>
          </cell>
        </row>
        <row r="4">
          <cell r="A4" t="str">
            <v>&lt;65K_EvapCool-NC</v>
          </cell>
          <cell r="C4" t="str">
            <v>RET</v>
          </cell>
          <cell r="F4" t="str">
            <v>Education - Primary School</v>
          </cell>
          <cell r="N4" t="str">
            <v>Res - Interior - Common</v>
          </cell>
          <cell r="P4" t="str">
            <v>12 Hour Op.</v>
          </cell>
          <cell r="R4" t="str">
            <v>Night Operation</v>
          </cell>
          <cell r="T4" t="str">
            <v>Exit</v>
          </cell>
          <cell r="V4" t="str">
            <v>Commissioning / Down-Stream Incentive - Calculated</v>
          </cell>
          <cell r="AA4" t="str">
            <v>Measure Modified</v>
          </cell>
          <cell r="AC4" t="str">
            <v>Revise Assumptions</v>
          </cell>
          <cell r="AH4" t="str">
            <v>Res - No Cooling, Electric Baseboard Heating</v>
          </cell>
          <cell r="AK4" t="str">
            <v>Agr-Irfilm</v>
          </cell>
        </row>
        <row r="5">
          <cell r="A5" t="str">
            <v>&gt;135K_Air_AC-NC</v>
          </cell>
          <cell r="C5" t="str">
            <v>REA</v>
          </cell>
          <cell r="F5" t="str">
            <v>Education - Secondary School</v>
          </cell>
          <cell r="P5" t="str">
            <v>14 Hour Op.</v>
          </cell>
          <cell r="V5" t="str">
            <v>Commissioning / Down-Stream Incentive - Deemed</v>
          </cell>
          <cell r="AH5" t="str">
            <v>Res - Central Heat Pump with Electric Resistance Backup</v>
          </cell>
          <cell r="AK5" t="str">
            <v>Agr-LPSNperm</v>
          </cell>
        </row>
        <row r="6">
          <cell r="A6" t="str">
            <v>&gt;135K_Wtr_AC-NC</v>
          </cell>
          <cell r="F6" t="str">
            <v>Education - Relocatable Classroom</v>
          </cell>
          <cell r="P6" t="str">
            <v>16 Hour Op.</v>
          </cell>
          <cell r="V6" t="str">
            <v>Financial Support / Direct Install</v>
          </cell>
          <cell r="AH6" t="str">
            <v>Res - Evaporative Cooling with Separate Gas Furnace</v>
          </cell>
          <cell r="AK6" t="str">
            <v>Agr-LPSNport</v>
          </cell>
        </row>
        <row r="7">
          <cell r="A7" t="str">
            <v>65K-135_Wtr_AC-NC</v>
          </cell>
          <cell r="F7" t="str">
            <v>Education - Community College</v>
          </cell>
          <cell r="P7" t="str">
            <v>18 Hour Op.</v>
          </cell>
          <cell r="V7" t="str">
            <v>Financial Support / Down-Stream Incentive - Calculated</v>
          </cell>
          <cell r="AH7" t="str">
            <v>Res - All applicable Residential HVAC types</v>
          </cell>
          <cell r="AK7" t="str">
            <v>Agr-MilkPreCool</v>
          </cell>
        </row>
        <row r="8">
          <cell r="A8" t="str">
            <v>65K-135K_Air_AC-NC</v>
          </cell>
          <cell r="F8" t="str">
            <v>Education - University</v>
          </cell>
          <cell r="P8" t="str">
            <v>20 Hour Op.</v>
          </cell>
          <cell r="V8" t="str">
            <v>Financial Support / Down-Stream Incentive - Deemed</v>
          </cell>
          <cell r="AH8" t="str">
            <v>Res - Standard Weights Applied to Residential HVAC Types</v>
          </cell>
          <cell r="AK8" t="str">
            <v>Agr-VSDmilkTrnsfr</v>
          </cell>
        </row>
        <row r="9">
          <cell r="A9" t="str">
            <v>AC_Cooling-RC</v>
          </cell>
          <cell r="F9" t="str">
            <v>Grocery</v>
          </cell>
          <cell r="P9" t="str">
            <v>22 Hour Op.</v>
          </cell>
          <cell r="V9" t="str">
            <v>Financial Support / Exchange - Replacement</v>
          </cell>
          <cell r="AH9" t="str">
            <v>Com - All Applicable Commercial HVAC Types</v>
          </cell>
          <cell r="AK9" t="str">
            <v>Agr-VSDmilkVcm</v>
          </cell>
        </row>
        <row r="10">
          <cell r="A10" t="str">
            <v>AC-NC</v>
          </cell>
          <cell r="F10" t="str">
            <v>Food Store</v>
          </cell>
          <cell r="P10" t="str">
            <v>24 Hour Op.</v>
          </cell>
          <cell r="V10" t="str">
            <v>Financial Support / Giveaway</v>
          </cell>
          <cell r="AH10" t="str">
            <v>Com - Split or Packaged Direct Expansion Unit with Gas Furnace</v>
          </cell>
          <cell r="AK10" t="str">
            <v>Agr-VSDWellPmp</v>
          </cell>
        </row>
        <row r="11">
          <cell r="A11" t="str">
            <v>Ag &amp; Water Pumping</v>
          </cell>
          <cell r="F11" t="str">
            <v>Health/Medical - Hospital</v>
          </cell>
          <cell r="P11" t="str">
            <v>Res - Interior - Dwelling</v>
          </cell>
          <cell r="V11" t="str">
            <v>Financial Support / On-bill Finance - loan</v>
          </cell>
          <cell r="AH11" t="str">
            <v>Com - Split or Packaged Direct Expansion Unit with Electric Heat</v>
          </cell>
          <cell r="AK11" t="str">
            <v>Agr-WineTnkIns</v>
          </cell>
        </row>
        <row r="12">
          <cell r="A12" t="str">
            <v>CFL-RC</v>
          </cell>
          <cell r="F12" t="str">
            <v>Health/Medical - Nursing Home</v>
          </cell>
          <cell r="P12" t="str">
            <v>Res - Interior - Common</v>
          </cell>
          <cell r="V12" t="str">
            <v>Innovative Design / Direct Install</v>
          </cell>
          <cell r="AH12" t="str">
            <v>Com - Split or Packaged Direct Expansion Unit with Heat Pump</v>
          </cell>
          <cell r="AK12" t="str">
            <v>Appl-EffCW</v>
          </cell>
        </row>
        <row r="13">
          <cell r="A13" t="str">
            <v>Commercial Whole Building</v>
          </cell>
          <cell r="F13" t="str">
            <v>Health/Medical - Clinic</v>
          </cell>
          <cell r="P13" t="str">
            <v>Res - Exterior - Dwelling</v>
          </cell>
          <cell r="V13" t="str">
            <v>Innovative Design / Down-Stream Incentive - Deemed</v>
          </cell>
          <cell r="AH13" t="str">
            <v>Com - Water Loop Heat Pump</v>
          </cell>
          <cell r="AK13" t="str">
            <v>Appl-EffDW</v>
          </cell>
        </row>
        <row r="14">
          <cell r="A14" t="str">
            <v>DayLt &amp; Controls</v>
          </cell>
          <cell r="F14" t="str">
            <v>Lodging - Hotel</v>
          </cell>
          <cell r="P14" t="str">
            <v>Res - Exterior - Common</v>
          </cell>
          <cell r="V14" t="str">
            <v>Innovative Design / Mid-Stream Incentive</v>
          </cell>
          <cell r="AH14" t="str">
            <v>Com - No Cooling with Electric Heat</v>
          </cell>
          <cell r="AK14" t="str">
            <v>Appl-ESFrzr</v>
          </cell>
        </row>
        <row r="15">
          <cell r="A15" t="str">
            <v>DayLt_Cntrl-NC</v>
          </cell>
          <cell r="F15" t="str">
            <v>Lodging - Guest Rooms</v>
          </cell>
          <cell r="V15" t="str">
            <v>Innovative Design / On-bill Finance - loan</v>
          </cell>
          <cell r="AH15" t="str">
            <v>Com - No Cooling with Gas Furnace</v>
          </cell>
          <cell r="AK15" t="str">
            <v>Appl-ESRefg</v>
          </cell>
        </row>
        <row r="16">
          <cell r="A16" t="str">
            <v>DEER:HVAC_Chillers</v>
          </cell>
          <cell r="F16" t="str">
            <v>Lodging - Motel</v>
          </cell>
          <cell r="V16" t="str">
            <v>Innovative Design / Up-Stream Incentive</v>
          </cell>
          <cell r="AH16" t="str">
            <v>Com - Packaged Variable Air Volume System with Gas Furnace</v>
          </cell>
          <cell r="AK16" t="str">
            <v>Appl-RecFrzr</v>
          </cell>
        </row>
        <row r="17">
          <cell r="A17" t="str">
            <v>DEER:HVAC_Duct_Sealing</v>
          </cell>
          <cell r="F17" t="str">
            <v>Manufacturing - Bio/Tech</v>
          </cell>
          <cell r="V17" t="str">
            <v>Midstream Programs / Mid-Stream Incentive</v>
          </cell>
          <cell r="AH17" t="str">
            <v>Com - Packaged Variable Air Volume System with Electric Heat</v>
          </cell>
          <cell r="AK17" t="str">
            <v>Appl-RecRef</v>
          </cell>
        </row>
        <row r="18">
          <cell r="A18" t="str">
            <v>DEER:HVAC_Eff_AC</v>
          </cell>
          <cell r="F18" t="str">
            <v>Manufacturing - Light Industrial</v>
          </cell>
          <cell r="V18" t="str">
            <v>Partnership / Direct Install</v>
          </cell>
          <cell r="AH18" t="str">
            <v>Com - Built-Up Variable Air Volume System with Gas Boiler</v>
          </cell>
          <cell r="AK18" t="str">
            <v>BldgEnv-CoolRoof</v>
          </cell>
        </row>
        <row r="19">
          <cell r="A19" t="str">
            <v>DEER:HVAC_Eff_HP</v>
          </cell>
          <cell r="F19" t="str">
            <v>Industrial</v>
          </cell>
          <cell r="V19" t="str">
            <v>Partnership / Down-Stream Incentive - Calculated</v>
          </cell>
          <cell r="AH19" t="str">
            <v>Com - Built-Up Variable Air Volume System with Electric Reheat</v>
          </cell>
          <cell r="AK19" t="str">
            <v>BldgEnv-FlrIns</v>
          </cell>
        </row>
        <row r="20">
          <cell r="A20" t="str">
            <v>DEER:HVAC_Refrig_Charge</v>
          </cell>
          <cell r="F20" t="str">
            <v>Misc - Commercial</v>
          </cell>
          <cell r="V20" t="str">
            <v>Partnership / Down-Stream Incentive - Deemed</v>
          </cell>
          <cell r="AH20" t="str">
            <v>Com - No HVAC (Unconditioned)</v>
          </cell>
          <cell r="AK20" t="str">
            <v>BldgEnv-RoofIns</v>
          </cell>
        </row>
        <row r="21">
          <cell r="A21" t="str">
            <v>DEER:HVAC_Split-Package_AC</v>
          </cell>
          <cell r="F21" t="str">
            <v>Office - Large</v>
          </cell>
          <cell r="V21" t="str">
            <v>Partnership / Exchange - Replacement</v>
          </cell>
          <cell r="AH21" t="str">
            <v>Com - Packaged Terminal Air Conditioner</v>
          </cell>
          <cell r="AK21" t="str">
            <v>BS-BlowInIns</v>
          </cell>
        </row>
        <row r="22">
          <cell r="A22" t="str">
            <v>DEER:HVAC_Split-Package_HP</v>
          </cell>
          <cell r="F22" t="str">
            <v>Office - Small</v>
          </cell>
          <cell r="V22" t="str">
            <v>Partnership / Giveaway</v>
          </cell>
          <cell r="AH22" t="str">
            <v>Com - Packaged Terminal Heat Pump</v>
          </cell>
          <cell r="AK22" t="str">
            <v>BS-CeilIns</v>
          </cell>
        </row>
        <row r="23">
          <cell r="A23" t="str">
            <v>DEER:Indoor_CFL_Ltg</v>
          </cell>
          <cell r="F23" t="str">
            <v>Restaurant - Fast-Food</v>
          </cell>
          <cell r="V23" t="str">
            <v>Partnership / On-bill Finance - Loan</v>
          </cell>
          <cell r="AH23" t="str">
            <v>Com - Four Pipe Fan Coil</v>
          </cell>
          <cell r="AK23" t="str">
            <v>BS-CoolAttic</v>
          </cell>
        </row>
        <row r="24">
          <cell r="A24" t="str">
            <v>DEER:Indoor_Non-CFL_Ltg</v>
          </cell>
          <cell r="F24" t="str">
            <v>Restaurant - Sit-Down</v>
          </cell>
          <cell r="V24" t="str">
            <v>Upstream Programs / Up-Stream Buy Down</v>
          </cell>
          <cell r="AH24" t="str">
            <v>Com - Dual Duct System</v>
          </cell>
          <cell r="AK24" t="str">
            <v>BS-FlrIns</v>
          </cell>
        </row>
        <row r="25">
          <cell r="A25" t="str">
            <v>DEER:Refg_Chrg_Duct_Seal</v>
          </cell>
          <cell r="F25" t="str">
            <v>Retail - Multistory Large</v>
          </cell>
          <cell r="V25" t="str">
            <v>Upstream Programs / Up-Stream Incentive</v>
          </cell>
          <cell r="AH25" t="str">
            <v>Com - Evaporative Cooling with Separate Gas Furnace</v>
          </cell>
          <cell r="AK25" t="str">
            <v>BS-LtRoof</v>
          </cell>
        </row>
        <row r="26">
          <cell r="A26" t="str">
            <v>DEER:RefgFrzr_HighEff</v>
          </cell>
          <cell r="F26" t="str">
            <v>Retail - Single-Story Large</v>
          </cell>
          <cell r="AH26" t="str">
            <v>Com - Standard Weights Applied to Commercial HVAC Types</v>
          </cell>
          <cell r="AK26" t="str">
            <v>BS-LtWalls</v>
          </cell>
        </row>
        <row r="27">
          <cell r="A27" t="str">
            <v>DEER:RefgFrzr_Recyc-Conditioned</v>
          </cell>
          <cell r="F27" t="str">
            <v>Retail - Small</v>
          </cell>
          <cell r="AH27" t="str">
            <v>Ag - Overhead Gas Furnace</v>
          </cell>
          <cell r="AK27" t="str">
            <v>BS-WallIns</v>
          </cell>
        </row>
        <row r="28">
          <cell r="A28" t="str">
            <v>DEER:RefgFrzr_Recycling</v>
          </cell>
          <cell r="F28" t="str">
            <v>Storage - Conditioned</v>
          </cell>
          <cell r="AH28" t="str">
            <v>Ag - Radiant Heat</v>
          </cell>
          <cell r="AK28" t="str">
            <v>BS-Win</v>
          </cell>
        </row>
        <row r="29">
          <cell r="A29" t="str">
            <v>DEER:RefgFrzr_Recyc-UnConditioned</v>
          </cell>
          <cell r="F29" t="str">
            <v>Storage - Unconditioned</v>
          </cell>
          <cell r="AH29" t="str">
            <v>CC - Any HVAC Type</v>
          </cell>
          <cell r="AK29" t="str">
            <v>BS-WinFilm</v>
          </cell>
        </row>
        <row r="30">
          <cell r="A30" t="str">
            <v>DHW HtPmp</v>
          </cell>
          <cell r="F30" t="str">
            <v>Transportation - Communication - Utilities</v>
          </cell>
          <cell r="AH30" t="str">
            <v>CC - All Applicable HVAC Types</v>
          </cell>
          <cell r="AK30" t="str">
            <v>BS-Wthr</v>
          </cell>
        </row>
        <row r="31">
          <cell r="A31" t="str">
            <v>Economy_cycle-Ret</v>
          </cell>
          <cell r="F31" t="str">
            <v>Warehouse - Refrigerated</v>
          </cell>
          <cell r="AH31" t="str">
            <v>CC - Typical, or Weighted, HVAC Type for the Building Type</v>
          </cell>
          <cell r="AK31" t="str">
            <v>BS-WthrEvap</v>
          </cell>
        </row>
        <row r="32">
          <cell r="A32" t="str">
            <v>Evap_Cooling-Ret</v>
          </cell>
          <cell r="F32" t="str">
            <v>Residential Single Family</v>
          </cell>
          <cell r="AK32" t="str">
            <v>ComLau-EffCW</v>
          </cell>
        </row>
        <row r="33">
          <cell r="A33" t="str">
            <v>Frig Barrier</v>
          </cell>
          <cell r="F33" t="str">
            <v>Residential Multi-family</v>
          </cell>
          <cell r="AK33" t="str">
            <v>Cook-ElecCombOven</v>
          </cell>
        </row>
        <row r="34">
          <cell r="A34" t="str">
            <v>Heat_Pump-NC</v>
          </cell>
          <cell r="F34" t="str">
            <v>Residential Mobile Home - Double-Wide</v>
          </cell>
          <cell r="AK34" t="str">
            <v>Cook-ElecConvOven</v>
          </cell>
        </row>
        <row r="35">
          <cell r="A35" t="str">
            <v>HeatPump_Heating_Only-RC</v>
          </cell>
          <cell r="AK35" t="str">
            <v>Cook-ElecFryer</v>
          </cell>
        </row>
        <row r="36">
          <cell r="A36" t="str">
            <v>HeatPump_ThroughWall-RC</v>
          </cell>
          <cell r="AK36" t="str">
            <v>Cook-ElecGriddle</v>
          </cell>
        </row>
        <row r="37">
          <cell r="A37" t="str">
            <v>HeatPump_WtrHt-RC</v>
          </cell>
          <cell r="AK37" t="str">
            <v>Cook-ElecStmCooker</v>
          </cell>
        </row>
        <row r="38">
          <cell r="A38" t="str">
            <v>Hi_Eff_AC_Mtr-NC</v>
          </cell>
          <cell r="AK38" t="str">
            <v>Cook-GasCombOVen</v>
          </cell>
        </row>
        <row r="39">
          <cell r="A39" t="str">
            <v>Hi_Perf_Glass-NC</v>
          </cell>
          <cell r="AK39" t="str">
            <v>Cook-GasConvOven</v>
          </cell>
        </row>
        <row r="40">
          <cell r="A40" t="str">
            <v>HorizAxisClothesWasher-RC</v>
          </cell>
          <cell r="AK40" t="str">
            <v>Cook-GasFryer</v>
          </cell>
        </row>
        <row r="41">
          <cell r="A41" t="str">
            <v>IndoorLt</v>
          </cell>
          <cell r="AK41" t="str">
            <v>Cook-GasGriddle</v>
          </cell>
        </row>
        <row r="42">
          <cell r="A42" t="str">
            <v>Industrial</v>
          </cell>
          <cell r="AK42" t="str">
            <v>Cook-GasRackOven</v>
          </cell>
        </row>
        <row r="43">
          <cell r="A43" t="str">
            <v>Lighting-NC</v>
          </cell>
          <cell r="AK43" t="str">
            <v>Cook-GasStmCooker</v>
          </cell>
        </row>
        <row r="44">
          <cell r="A44" t="str">
            <v>Lo_Gain_Wndw-NC</v>
          </cell>
          <cell r="AK44" t="str">
            <v>Cook-GDRef</v>
          </cell>
        </row>
        <row r="45">
          <cell r="A45" t="str">
            <v>Lower_Cond_temp-Ret</v>
          </cell>
          <cell r="AK45" t="str">
            <v>Cook-HoldCab</v>
          </cell>
        </row>
        <row r="46">
          <cell r="A46" t="str">
            <v>New_AC-Ret</v>
          </cell>
          <cell r="AK46" t="str">
            <v>Cook-IceMach</v>
          </cell>
        </row>
        <row r="47">
          <cell r="A47" t="str">
            <v>New_HtPmp-Ret</v>
          </cell>
          <cell r="AK47" t="str">
            <v>Cook-SDFreez</v>
          </cell>
        </row>
        <row r="48">
          <cell r="A48" t="str">
            <v>Occupancy Sensor</v>
          </cell>
          <cell r="AK48" t="str">
            <v>Cook-SDRef</v>
          </cell>
        </row>
        <row r="49">
          <cell r="A49" t="str">
            <v>Outdoor Lt</v>
          </cell>
          <cell r="AK49" t="str">
            <v>Cook-VatFryer</v>
          </cell>
        </row>
        <row r="50">
          <cell r="A50" t="str">
            <v>Package_AC-NC</v>
          </cell>
          <cell r="AK50" t="str">
            <v>GlazDaylt-Dayltg</v>
          </cell>
        </row>
        <row r="51">
          <cell r="A51" t="str">
            <v>Perimter Lt Control</v>
          </cell>
          <cell r="AK51" t="str">
            <v>GlazDaylt-HPWinDaylt</v>
          </cell>
        </row>
        <row r="52">
          <cell r="A52" t="str">
            <v>Pool HtPmp</v>
          </cell>
          <cell r="AK52" t="str">
            <v>GlazDaylt-LoSHGC</v>
          </cell>
        </row>
        <row r="53">
          <cell r="A53" t="str">
            <v>Reduce_Cooling_Load-Ret</v>
          </cell>
          <cell r="AK53" t="str">
            <v>GlazDaylt-WinFilm</v>
          </cell>
        </row>
        <row r="54">
          <cell r="A54" t="str">
            <v>Refrigeration</v>
          </cell>
          <cell r="AK54" t="str">
            <v>GrocDisp-ASH</v>
          </cell>
        </row>
        <row r="55">
          <cell r="A55" t="str">
            <v>Refrig-RC</v>
          </cell>
          <cell r="AK55" t="str">
            <v>GrocDisp-DispCvrs</v>
          </cell>
        </row>
        <row r="56">
          <cell r="A56" t="str">
            <v>Replace_Chiller-Ret</v>
          </cell>
          <cell r="AK56" t="str">
            <v>GrocDisp-DispLtgCtrl</v>
          </cell>
        </row>
        <row r="57">
          <cell r="A57" t="str">
            <v>Residential Pool Pumps</v>
          </cell>
          <cell r="AK57" t="str">
            <v>GrocDisp-FEvapFanMtr</v>
          </cell>
        </row>
        <row r="58">
          <cell r="A58" t="str">
            <v>Roof_insul-Ret</v>
          </cell>
          <cell r="AK58" t="str">
            <v>GrocDisp-FixtDoors</v>
          </cell>
        </row>
        <row r="59">
          <cell r="A59" t="str">
            <v>Var_Spd_AC_Mtr-NC</v>
          </cell>
          <cell r="AK59" t="str">
            <v>GrocDisp-FixtDrGask</v>
          </cell>
        </row>
        <row r="60">
          <cell r="A60" t="str">
            <v>Wall_insul-Ret</v>
          </cell>
          <cell r="AK60" t="str">
            <v>GrocDisp-FixtLtg-LED</v>
          </cell>
        </row>
        <row r="61">
          <cell r="A61" t="str">
            <v>Window_Tint-Ret</v>
          </cell>
          <cell r="AK61" t="str">
            <v>GrocDisp-ZeroHtDrs</v>
          </cell>
        </row>
        <row r="62">
          <cell r="A62" t="str">
            <v>Wtr_Cool_Chiller-NC</v>
          </cell>
          <cell r="AK62" t="str">
            <v>GrocSys-Cndsr</v>
          </cell>
        </row>
        <row r="63">
          <cell r="AK63" t="str">
            <v>GrocSys-FltHdPres</v>
          </cell>
        </row>
        <row r="64">
          <cell r="AK64" t="str">
            <v>GrocSys-FltSucPres</v>
          </cell>
        </row>
        <row r="65">
          <cell r="AK65" t="str">
            <v>GrocSys-HtRecov</v>
          </cell>
        </row>
        <row r="66">
          <cell r="AK66" t="str">
            <v>GrocSys-MechSubcl</v>
          </cell>
        </row>
        <row r="67">
          <cell r="AK67" t="str">
            <v>GrocSys-Retro</v>
          </cell>
        </row>
        <row r="68">
          <cell r="AK68" t="str">
            <v>GrocWlkIn-DrClsr</v>
          </cell>
        </row>
        <row r="69">
          <cell r="AK69" t="str">
            <v>GrocWlkIn-StripCrtn</v>
          </cell>
        </row>
        <row r="70">
          <cell r="AK70" t="str">
            <v>GrocWlkIn-WDrGask</v>
          </cell>
        </row>
        <row r="71">
          <cell r="AK71" t="str">
            <v>GrocWlkIn-WEvapFanMtr</v>
          </cell>
        </row>
        <row r="72">
          <cell r="AK72" t="str">
            <v>GrocWlkIn-WEvapFMtrCtrl</v>
          </cell>
        </row>
        <row r="73">
          <cell r="AK73" t="str">
            <v>HVAC-2Spd</v>
          </cell>
        </row>
        <row r="74">
          <cell r="AK74" t="str">
            <v>HVAC-addEcono</v>
          </cell>
        </row>
        <row r="75">
          <cell r="AK75" t="str">
            <v>HVAC-airAC</v>
          </cell>
        </row>
        <row r="76">
          <cell r="AK76" t="str">
            <v>HVAC-airHP</v>
          </cell>
        </row>
        <row r="77">
          <cell r="AK77" t="str">
            <v>HVAC-AtoAHtExchng</v>
          </cell>
        </row>
        <row r="78">
          <cell r="AK78" t="str">
            <v>HVAC-Blr</v>
          </cell>
        </row>
        <row r="79">
          <cell r="AK79" t="str">
            <v>HVAC-Chlr</v>
          </cell>
        </row>
        <row r="80">
          <cell r="AK80" t="str">
            <v>HVAC-ChlrComp</v>
          </cell>
        </row>
        <row r="81">
          <cell r="AK81" t="str">
            <v>HVAC-ClnCondCoils</v>
          </cell>
        </row>
        <row r="82">
          <cell r="AK82" t="str">
            <v>HVAC-ClTwrPkgSys</v>
          </cell>
        </row>
        <row r="83">
          <cell r="AK83" t="str">
            <v>HVAC-DuctInsul</v>
          </cell>
        </row>
        <row r="84">
          <cell r="AK84" t="str">
            <v>HVAC-DuctSeal</v>
          </cell>
        </row>
        <row r="85">
          <cell r="AK85" t="str">
            <v>HVAC-EMS</v>
          </cell>
        </row>
        <row r="86">
          <cell r="AK86" t="str">
            <v>HVAC-evapAC</v>
          </cell>
        </row>
        <row r="87">
          <cell r="AK87" t="str">
            <v>HVAC-EvapCool</v>
          </cell>
        </row>
        <row r="88">
          <cell r="AK88" t="str">
            <v>HVAC-FanPwrdMix</v>
          </cell>
        </row>
        <row r="89">
          <cell r="AK89" t="str">
            <v>HVAC-Frnc</v>
          </cell>
        </row>
        <row r="90">
          <cell r="AK90" t="str">
            <v>HVAC-HydHPVarFlow</v>
          </cell>
        </row>
        <row r="91">
          <cell r="AK91" t="str">
            <v>HVAC-ProgTStats</v>
          </cell>
        </row>
        <row r="92">
          <cell r="AK92" t="str">
            <v>HVAC-PTAC</v>
          </cell>
        </row>
        <row r="93">
          <cell r="AK93" t="str">
            <v>HVAC-PTACCtrl</v>
          </cell>
        </row>
        <row r="94">
          <cell r="AK94" t="str">
            <v>HVAC-PTHP</v>
          </cell>
        </row>
        <row r="95">
          <cell r="AK95" t="str">
            <v>HVAC-RedcOverVent</v>
          </cell>
        </row>
        <row r="96">
          <cell r="AK96" t="str">
            <v>HVAC-RefChg</v>
          </cell>
        </row>
        <row r="97">
          <cell r="AK97" t="str">
            <v>HVAC-repEcono</v>
          </cell>
        </row>
        <row r="98">
          <cell r="AK98" t="str">
            <v>HVAC-Reset</v>
          </cell>
        </row>
        <row r="99">
          <cell r="AK99" t="str">
            <v>HVAC-RotHtRecov</v>
          </cell>
        </row>
        <row r="100">
          <cell r="AK100" t="str">
            <v>HVAC-StmTrp</v>
          </cell>
        </row>
        <row r="101">
          <cell r="AK101" t="str">
            <v>HVAC-Timeclocks</v>
          </cell>
        </row>
        <row r="102">
          <cell r="AK102" t="str">
            <v>HVAC-VarFlow</v>
          </cell>
        </row>
        <row r="103">
          <cell r="AK103" t="str">
            <v>HVAC-VAVBox</v>
          </cell>
        </row>
        <row r="104">
          <cell r="AK104" t="str">
            <v>HVAC-VSD-fan</v>
          </cell>
        </row>
        <row r="105">
          <cell r="AK105" t="str">
            <v>HVAC-VSD-pump</v>
          </cell>
        </row>
        <row r="106">
          <cell r="AK106" t="str">
            <v>HVAC-VSDSupFan</v>
          </cell>
        </row>
        <row r="107">
          <cell r="AK107" t="str">
            <v>HVAC-WSHP</v>
          </cell>
        </row>
        <row r="108">
          <cell r="AK108" t="str">
            <v>HVAC-wtrAC</v>
          </cell>
        </row>
        <row r="109">
          <cell r="AK109" t="str">
            <v>HVAC-WtrEcon</v>
          </cell>
        </row>
        <row r="110">
          <cell r="AK110" t="str">
            <v>HV-DuctSeal</v>
          </cell>
        </row>
        <row r="111">
          <cell r="AK111" t="str">
            <v>HV-EffFurn</v>
          </cell>
        </row>
        <row r="112">
          <cell r="AK112" t="str">
            <v>HV-Evap</v>
          </cell>
        </row>
        <row r="113">
          <cell r="AK113" t="str">
            <v>HV-MFRefChrg</v>
          </cell>
        </row>
        <row r="114">
          <cell r="AK114" t="str">
            <v>HV-MHRefChrg</v>
          </cell>
        </row>
        <row r="115">
          <cell r="AK115" t="str">
            <v>HV-ProgTstat</v>
          </cell>
        </row>
        <row r="116">
          <cell r="AK116" t="str">
            <v>HV-RAC-ES</v>
          </cell>
        </row>
        <row r="117">
          <cell r="AK117" t="str">
            <v>HV-RAC-RUL</v>
          </cell>
        </row>
        <row r="118">
          <cell r="AK118" t="str">
            <v>HV-RefChrg</v>
          </cell>
        </row>
        <row r="119">
          <cell r="AK119" t="str">
            <v>HV-ResAC</v>
          </cell>
        </row>
        <row r="120">
          <cell r="AK120" t="str">
            <v>HV-ResAC-CleanCoil</v>
          </cell>
        </row>
        <row r="121">
          <cell r="AK121" t="str">
            <v>HV-ResEvapAC</v>
          </cell>
        </row>
        <row r="122">
          <cell r="AK122" t="str">
            <v>HV-ResHP</v>
          </cell>
        </row>
        <row r="123">
          <cell r="AK123" t="str">
            <v>HV-SFRefChrg</v>
          </cell>
        </row>
        <row r="124">
          <cell r="AK124" t="str">
            <v>HV-WHfan</v>
          </cell>
        </row>
        <row r="125">
          <cell r="AK125" t="str">
            <v>ILtg-CFL</v>
          </cell>
        </row>
        <row r="126">
          <cell r="AK126" t="str">
            <v>ILtg-CFLfix</v>
          </cell>
        </row>
        <row r="127">
          <cell r="AK127" t="str">
            <v>ILtg-Exit</v>
          </cell>
        </row>
        <row r="128">
          <cell r="AK128" t="str">
            <v>ILtg-HPS</v>
          </cell>
        </row>
        <row r="129">
          <cell r="AK129" t="str">
            <v>ILtg-LED</v>
          </cell>
        </row>
        <row r="130">
          <cell r="AK130" t="str">
            <v>ILtg-LED-seas</v>
          </cell>
        </row>
        <row r="131">
          <cell r="AK131" t="str">
            <v>ILtg-Lfluor-CommArea</v>
          </cell>
        </row>
        <row r="132">
          <cell r="AK132" t="str">
            <v>ILtg-Lfluor-Elec</v>
          </cell>
        </row>
        <row r="133">
          <cell r="AK133" t="str">
            <v>ILtg-Lfluor-fix</v>
          </cell>
        </row>
        <row r="134">
          <cell r="AK134" t="str">
            <v>ILtg-Lfluor-Mag</v>
          </cell>
        </row>
        <row r="135">
          <cell r="AK135" t="str">
            <v>ILtg-Lfluor-T12Mag</v>
          </cell>
        </row>
        <row r="136">
          <cell r="AK136" t="str">
            <v>ILtg-MH</v>
          </cell>
        </row>
        <row r="137">
          <cell r="AK137" t="str">
            <v>ILtg-OccSens</v>
          </cell>
        </row>
        <row r="138">
          <cell r="AK138" t="str">
            <v>ILtg-T5</v>
          </cell>
        </row>
        <row r="139">
          <cell r="AK139" t="str">
            <v>ILtg-TmClck</v>
          </cell>
        </row>
        <row r="140">
          <cell r="AK140" t="str">
            <v>Motors-fan</v>
          </cell>
        </row>
        <row r="141">
          <cell r="AK141" t="str">
            <v>Motors-HiEff</v>
          </cell>
        </row>
        <row r="142">
          <cell r="AK142" t="str">
            <v>Motors-pump</v>
          </cell>
        </row>
        <row r="143">
          <cell r="AK143" t="str">
            <v>Non-DEER</v>
          </cell>
        </row>
        <row r="144">
          <cell r="AK144" t="str">
            <v>OLtg-All-TmClk</v>
          </cell>
        </row>
        <row r="145">
          <cell r="AK145" t="str">
            <v>OLtg-All-TmClkPhoto</v>
          </cell>
        </row>
        <row r="146">
          <cell r="AK146" t="str">
            <v>OLtg-CFL</v>
          </cell>
        </row>
        <row r="147">
          <cell r="AK147" t="str">
            <v>OLtg-CFLfix</v>
          </cell>
        </row>
        <row r="148">
          <cell r="AK148" t="str">
            <v>OLtg-HID</v>
          </cell>
        </row>
        <row r="149">
          <cell r="AK149" t="str">
            <v>OLtg-HPS</v>
          </cell>
        </row>
        <row r="150">
          <cell r="AK150" t="str">
            <v>Oltg-LED</v>
          </cell>
        </row>
        <row r="151">
          <cell r="AK151" t="str">
            <v>OLtg-LFluor</v>
          </cell>
        </row>
        <row r="152">
          <cell r="AK152" t="str">
            <v>OLtg-LFluor-CommArea</v>
          </cell>
        </row>
        <row r="153">
          <cell r="AK153" t="str">
            <v>OLtg-Lfluor-Mag</v>
          </cell>
        </row>
        <row r="154">
          <cell r="AK154" t="str">
            <v>OLtg-MH</v>
          </cell>
        </row>
        <row r="155">
          <cell r="AK155" t="str">
            <v>OLtg-T5</v>
          </cell>
        </row>
        <row r="156">
          <cell r="AK156" t="str">
            <v>OLtg-TmClck</v>
          </cell>
        </row>
        <row r="157">
          <cell r="AK157" t="str">
            <v>OutD-PoolPump</v>
          </cell>
        </row>
        <row r="158">
          <cell r="AK158" t="str">
            <v>Plug-80plus</v>
          </cell>
        </row>
        <row r="159">
          <cell r="AK159" t="str">
            <v>Plug-HiEffCopier</v>
          </cell>
        </row>
        <row r="160">
          <cell r="AK160" t="str">
            <v>Plug-OccSens</v>
          </cell>
        </row>
        <row r="161">
          <cell r="AK161" t="str">
            <v>Plug-VendCtrler</v>
          </cell>
        </row>
        <row r="162">
          <cell r="AK162" t="str">
            <v>PrcHt-Blr</v>
          </cell>
        </row>
        <row r="163">
          <cell r="AK163" t="str">
            <v>PrcHt-StmTrp</v>
          </cell>
        </row>
        <row r="164">
          <cell r="AK164" t="str">
            <v>RefgWrhs-Comp</v>
          </cell>
        </row>
        <row r="165">
          <cell r="AK165" t="str">
            <v>RefgWrhs-Cond</v>
          </cell>
        </row>
        <row r="166">
          <cell r="AK166" t="str">
            <v>RefgWrhs-FltHdPres</v>
          </cell>
        </row>
        <row r="167">
          <cell r="AK167" t="str">
            <v>RefgWrhs-FltSucPres</v>
          </cell>
        </row>
        <row r="168">
          <cell r="AK168" t="str">
            <v>RefgWrhs-Retro</v>
          </cell>
        </row>
        <row r="169">
          <cell r="AK169" t="str">
            <v>RefgWrhs-ScrollComp</v>
          </cell>
        </row>
        <row r="170">
          <cell r="AK170" t="str">
            <v>RefgWrhs-SLIns</v>
          </cell>
        </row>
        <row r="171">
          <cell r="AK171" t="str">
            <v>RefgWrhs-SubClr</v>
          </cell>
        </row>
        <row r="172">
          <cell r="AK172" t="str">
            <v>WtrHt-CntLrgInst-Elec</v>
          </cell>
        </row>
        <row r="173">
          <cell r="AK173" t="str">
            <v>WtrHt-CntLrgInst-Gas</v>
          </cell>
        </row>
        <row r="174">
          <cell r="AK174" t="str">
            <v>WtrHt-CntLrgStrg-Elec</v>
          </cell>
        </row>
        <row r="175">
          <cell r="AK175" t="str">
            <v>WtrHt-CntLrgStrg-Gas</v>
          </cell>
        </row>
        <row r="176">
          <cell r="AK176" t="str">
            <v>WtrHt-CntMedInst-Elec</v>
          </cell>
        </row>
        <row r="177">
          <cell r="AK177" t="str">
            <v>WtrHt-Cntrl-Gas</v>
          </cell>
        </row>
        <row r="178">
          <cell r="AK178" t="str">
            <v>WtrHt-CntSmlInst-Elec</v>
          </cell>
        </row>
        <row r="179">
          <cell r="AK179" t="str">
            <v>WtrHt-CntSmlInst-Gas</v>
          </cell>
        </row>
        <row r="180">
          <cell r="AK180" t="str">
            <v>WtrHt-CntSmlStrg-Elec</v>
          </cell>
        </row>
        <row r="181">
          <cell r="AK181" t="str">
            <v>WtrHt-CntSmlStrg-Gas</v>
          </cell>
        </row>
        <row r="182">
          <cell r="AK182" t="str">
            <v>WtrHt-GPoolHtr</v>
          </cell>
        </row>
        <row r="183">
          <cell r="AK183" t="str">
            <v>WtrHt-HtPmp</v>
          </cell>
        </row>
        <row r="184">
          <cell r="AK184" t="str">
            <v>WtrHt-LrgInst-Elec</v>
          </cell>
        </row>
        <row r="185">
          <cell r="AK185" t="str">
            <v>WtrHt-LrgInst-Gas</v>
          </cell>
        </row>
        <row r="186">
          <cell r="AK186" t="str">
            <v>WtrHt-LrgStrg-Elec</v>
          </cell>
        </row>
        <row r="187">
          <cell r="AK187" t="str">
            <v>WtrHt-LrgStrg-Gas</v>
          </cell>
        </row>
        <row r="188">
          <cell r="AK188" t="str">
            <v>WtrHt-MedInst</v>
          </cell>
        </row>
        <row r="189">
          <cell r="AK189" t="str">
            <v>WtrHt-PipeIns-Elec</v>
          </cell>
        </row>
        <row r="190">
          <cell r="AK190" t="str">
            <v>WtrHt-PipeIns-Gas</v>
          </cell>
        </row>
        <row r="191">
          <cell r="AK191" t="str">
            <v>WtrHt-SmlInst</v>
          </cell>
        </row>
        <row r="192">
          <cell r="AK192" t="str">
            <v>WtrHt-SmlInst+C521</v>
          </cell>
        </row>
        <row r="193">
          <cell r="AK193" t="str">
            <v>WtrHt-SmlStrg-Elec</v>
          </cell>
        </row>
        <row r="194">
          <cell r="AK194" t="str">
            <v>WtrHt-SmlStrg-Elec</v>
          </cell>
        </row>
        <row r="195">
          <cell r="AK195" t="str">
            <v>WtrHt-SmlStrg-Gas</v>
          </cell>
        </row>
        <row r="196">
          <cell r="AK196" t="str">
            <v>WtrHt-SmlStrg-Gas</v>
          </cell>
        </row>
        <row r="197">
          <cell r="AK197" t="str">
            <v>WtrHt-SWH</v>
          </cell>
        </row>
        <row r="198">
          <cell r="AK198" t="str">
            <v>WtrHt-TankIns-Elec</v>
          </cell>
        </row>
        <row r="199">
          <cell r="AK199" t="str">
            <v>WtrHt-TankIns-Gas</v>
          </cell>
        </row>
        <row r="200">
          <cell r="AK200" t="str">
            <v>WtrHt-Timeclock</v>
          </cell>
        </row>
        <row r="201">
          <cell r="AK201" t="str">
            <v>WtrHt-WH-Aertr</v>
          </cell>
        </row>
        <row r="202">
          <cell r="AK202" t="str">
            <v>WtrHt-WH-R4PipeIns-Elec</v>
          </cell>
        </row>
        <row r="203">
          <cell r="AK203" t="str">
            <v>WtrHt-WH-R4PipeIns-Gas</v>
          </cell>
        </row>
        <row r="204">
          <cell r="AK204" t="str">
            <v>WtrHt-WH-Shrhd</v>
          </cell>
        </row>
      </sheetData>
      <sheetData sheetId="7"/>
      <sheetData sheetId="8">
        <row r="3">
          <cell r="B3" t="str">
            <v>Appliances</v>
          </cell>
        </row>
        <row r="4">
          <cell r="B4" t="str">
            <v>Audits</v>
          </cell>
        </row>
        <row r="5">
          <cell r="B5" t="str">
            <v>Building Envelope</v>
          </cell>
        </row>
        <row r="6">
          <cell r="B6" t="str">
            <v>Consumer Electronics</v>
          </cell>
        </row>
        <row r="7">
          <cell r="B7" t="str">
            <v>Foodservice</v>
          </cell>
        </row>
        <row r="8">
          <cell r="B8" t="str">
            <v>HVAC</v>
          </cell>
        </row>
        <row r="9">
          <cell r="B9" t="str">
            <v>Lighting</v>
          </cell>
        </row>
        <row r="10">
          <cell r="B10" t="str">
            <v>Motors</v>
          </cell>
        </row>
        <row r="11">
          <cell r="B11" t="str">
            <v>Office Equipment</v>
          </cell>
        </row>
        <row r="12">
          <cell r="B12" t="str">
            <v>Process</v>
          </cell>
        </row>
        <row r="13">
          <cell r="B13" t="str">
            <v>Pumping</v>
          </cell>
        </row>
        <row r="14">
          <cell r="B14" t="str">
            <v>Refrigeration</v>
          </cell>
        </row>
        <row r="15">
          <cell r="B15" t="str">
            <v>Water Heating</v>
          </cell>
        </row>
        <row r="16">
          <cell r="B16" t="str">
            <v>Whole Building</v>
          </cell>
        </row>
        <row r="17">
          <cell r="B17" t="str">
            <v>Not Necessary/Not Applicable</v>
          </cell>
        </row>
      </sheetData>
      <sheetData sheetId="9"/>
      <sheetData sheetId="10"/>
      <sheetData sheetId="11"/>
      <sheetData sheetId="12"/>
      <sheetData sheetId="13"/>
      <sheetData sheetId="14"/>
      <sheetData sheetId="15"/>
      <sheetData sheetId="16"/>
      <sheetData sheetId="1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Workbook"/>
      <sheetName val="Transmittal Res"/>
      <sheetName val="Transmittal Inc"/>
      <sheetName val="Inspection Disclaimers"/>
      <sheetName val="Diagnostic Test Form"/>
      <sheetName val="Change Order Form"/>
      <sheetName val="Home Efficiency - PY21 Pricing"/>
      <sheetName val="Off Workscope Costs"/>
      <sheetName val="Measures"/>
      <sheetName val="Revision Tracking"/>
      <sheetName val="Lists"/>
      <sheetName val="Referenc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9">
          <cell r="C9" t="str">
            <v>Yes</v>
          </cell>
        </row>
        <row r="10">
          <cell r="C10" t="str">
            <v>No</v>
          </cell>
        </row>
        <row r="11">
          <cell r="C11" t="str">
            <v>NA</v>
          </cell>
        </row>
        <row r="18">
          <cell r="C18" t="str">
            <v>Tank</v>
          </cell>
        </row>
        <row r="19">
          <cell r="C19" t="str">
            <v>On Demand</v>
          </cell>
        </row>
        <row r="20">
          <cell r="C20" t="str">
            <v>Heat Pump</v>
          </cell>
        </row>
        <row r="21">
          <cell r="C21" t="str">
            <v>Other</v>
          </cell>
        </row>
        <row r="22">
          <cell r="C22" t="str">
            <v>NA</v>
          </cell>
        </row>
        <row r="24">
          <cell r="A24" t="str">
            <v>Good</v>
          </cell>
        </row>
        <row r="25">
          <cell r="A25" t="str">
            <v>Fair</v>
          </cell>
        </row>
        <row r="26">
          <cell r="A26" t="str">
            <v>Poor</v>
          </cell>
        </row>
        <row r="27">
          <cell r="A27" t="str">
            <v>Very Poor</v>
          </cell>
        </row>
        <row r="29">
          <cell r="A29" t="str">
            <v>Natural Gas Furnace</v>
          </cell>
        </row>
        <row r="30">
          <cell r="A30" t="str">
            <v>Natural Gas Boiler</v>
          </cell>
        </row>
        <row r="31">
          <cell r="A31" t="str">
            <v>ASHP</v>
          </cell>
        </row>
        <row r="32">
          <cell r="A32" t="str">
            <v>Electric Resistance</v>
          </cell>
        </row>
        <row r="35">
          <cell r="A35" t="str">
            <v>ASHP</v>
          </cell>
        </row>
        <row r="36">
          <cell r="A36" t="str">
            <v>CAC</v>
          </cell>
        </row>
        <row r="37">
          <cell r="A37" t="str">
            <v>Mini-Split Heat Pump</v>
          </cell>
        </row>
        <row r="38">
          <cell r="A38" t="str">
            <v>Window Unit</v>
          </cell>
        </row>
        <row r="39">
          <cell r="A39" t="str">
            <v>2+ CAC Units</v>
          </cell>
        </row>
        <row r="40">
          <cell r="A40" t="str">
            <v>2+ ASHP Units</v>
          </cell>
        </row>
        <row r="41">
          <cell r="A41" t="str">
            <v>NA</v>
          </cell>
        </row>
      </sheetData>
      <sheetData sheetId="1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Work Scope"/>
      <sheetName val="Transmittal Res"/>
      <sheetName val="Transmittal Inc"/>
      <sheetName val="Electrification"/>
      <sheetName val="HeRO"/>
      <sheetName val="Lists"/>
      <sheetName val="Health &amp; Safety Form"/>
      <sheetName val="Ancillary Costs"/>
      <sheetName val="Inspection Disclaimers"/>
      <sheetName val="Diagnostic Test Form"/>
      <sheetName val="WNCF Form"/>
      <sheetName val="Change Order Form"/>
      <sheetName val="Home Efficiency - PY23 Pricing"/>
      <sheetName val="Health &amp; Safety - PY23 Pricing"/>
      <sheetName val="Assessment Form"/>
      <sheetName val="HVAC Tier 2 Incentive Table"/>
      <sheetName val="Revision Tracking"/>
      <sheetName val="Measures"/>
      <sheetName val="AF List"/>
      <sheetName val="Reference"/>
    </sheetNames>
    <sheetDataSet>
      <sheetData sheetId="0"/>
      <sheetData sheetId="1" refreshError="1"/>
      <sheetData sheetId="2" refreshError="1"/>
      <sheetData sheetId="3" refreshError="1"/>
      <sheetData sheetId="4" refreshError="1"/>
      <sheetData sheetId="5">
        <row r="9">
          <cell r="C9" t="str">
            <v>Yes</v>
          </cell>
        </row>
        <row r="10">
          <cell r="C10" t="str">
            <v>No</v>
          </cell>
        </row>
        <row r="11">
          <cell r="C11" t="str">
            <v>NA</v>
          </cell>
        </row>
        <row r="18">
          <cell r="C18" t="str">
            <v>Tank</v>
          </cell>
        </row>
        <row r="19">
          <cell r="C19" t="str">
            <v>On Demand</v>
          </cell>
        </row>
        <row r="20">
          <cell r="C20" t="str">
            <v>Heat Pump</v>
          </cell>
        </row>
        <row r="21">
          <cell r="C21" t="str">
            <v>Other</v>
          </cell>
        </row>
        <row r="22">
          <cell r="C22" t="str">
            <v>NA</v>
          </cell>
        </row>
        <row r="24">
          <cell r="A24" t="str">
            <v>Good</v>
          </cell>
        </row>
        <row r="25">
          <cell r="A25" t="str">
            <v>Fair</v>
          </cell>
        </row>
        <row r="26">
          <cell r="A26" t="str">
            <v>Poor</v>
          </cell>
        </row>
        <row r="27">
          <cell r="A27" t="str">
            <v>Very Poor</v>
          </cell>
        </row>
        <row r="29">
          <cell r="A29" t="str">
            <v>Natural Gas Furnace</v>
          </cell>
        </row>
        <row r="30">
          <cell r="A30" t="str">
            <v>Natural Gas Boiler</v>
          </cell>
        </row>
        <row r="31">
          <cell r="A31" t="str">
            <v>Propane Furnace</v>
          </cell>
        </row>
        <row r="32">
          <cell r="A32" t="str">
            <v>ASHP</v>
          </cell>
        </row>
        <row r="33">
          <cell r="A33" t="str">
            <v>Electric Resistance</v>
          </cell>
        </row>
        <row r="36">
          <cell r="A36" t="str">
            <v>CAC</v>
          </cell>
        </row>
        <row r="37">
          <cell r="A37" t="str">
            <v>ASHP</v>
          </cell>
        </row>
        <row r="38">
          <cell r="A38" t="str">
            <v>Mini-Split Heat Pump</v>
          </cell>
        </row>
        <row r="39">
          <cell r="A39" t="str">
            <v>Window Unit</v>
          </cell>
        </row>
        <row r="40">
          <cell r="A40" t="str">
            <v>None</v>
          </cell>
        </row>
        <row r="41">
          <cell r="A41" t="str">
            <v>2+ CAC Units</v>
          </cell>
        </row>
        <row r="42">
          <cell r="A42" t="str">
            <v>2+ ASHP Units</v>
          </cell>
        </row>
        <row r="43">
          <cell r="A43" t="str">
            <v>NA</v>
          </cell>
        </row>
      </sheetData>
      <sheetData sheetId="6" refreshError="1"/>
      <sheetData sheetId="7" refreshError="1"/>
      <sheetData sheetId="8"/>
      <sheetData sheetId="9"/>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Workbook"/>
      <sheetName val="Transmittal Res"/>
      <sheetName val="Transmittal Inc"/>
      <sheetName val="Ancillary Costs"/>
      <sheetName val="Inspection Disclaimers"/>
      <sheetName val="Diagnostic Test Form"/>
      <sheetName val="No Heat Form"/>
      <sheetName val="Change Order Form"/>
      <sheetName val="Measures"/>
      <sheetName val="Home Efficiency - PY21 Pricing"/>
      <sheetName val="Revision Tracking"/>
      <sheetName val="Lists"/>
      <sheetName val="Reference"/>
    </sheetNames>
    <sheetDataSet>
      <sheetData sheetId="0"/>
      <sheetData sheetId="1"/>
      <sheetData sheetId="2"/>
      <sheetData sheetId="3"/>
      <sheetData sheetId="4"/>
      <sheetData sheetId="5"/>
      <sheetData sheetId="6"/>
      <sheetData sheetId="7"/>
      <sheetData sheetId="8"/>
      <sheetData sheetId="9"/>
      <sheetData sheetId="10"/>
      <sheetData sheetId="11">
        <row r="9">
          <cell r="C9" t="str">
            <v>Yes</v>
          </cell>
        </row>
        <row r="10">
          <cell r="C10" t="str">
            <v>No</v>
          </cell>
        </row>
        <row r="11">
          <cell r="C11" t="str">
            <v>NA</v>
          </cell>
        </row>
        <row r="18">
          <cell r="C18" t="str">
            <v>Tank</v>
          </cell>
        </row>
        <row r="19">
          <cell r="C19" t="str">
            <v>On Demand</v>
          </cell>
        </row>
        <row r="20">
          <cell r="C20" t="str">
            <v>Heat Pump</v>
          </cell>
        </row>
        <row r="21">
          <cell r="C21" t="str">
            <v>Other</v>
          </cell>
        </row>
        <row r="22">
          <cell r="C22" t="str">
            <v>NA</v>
          </cell>
        </row>
        <row r="24">
          <cell r="A24" t="str">
            <v>Good</v>
          </cell>
        </row>
        <row r="25">
          <cell r="A25" t="str">
            <v>Fair</v>
          </cell>
        </row>
        <row r="26">
          <cell r="A26" t="str">
            <v>Poor</v>
          </cell>
        </row>
        <row r="27">
          <cell r="A27" t="str">
            <v>Very Poor</v>
          </cell>
        </row>
        <row r="29">
          <cell r="A29" t="str">
            <v>Natural Gas Furnace</v>
          </cell>
        </row>
        <row r="30">
          <cell r="A30" t="str">
            <v>Natural Gas Boiler</v>
          </cell>
        </row>
        <row r="31">
          <cell r="A31" t="str">
            <v>ASHP</v>
          </cell>
        </row>
        <row r="32">
          <cell r="A32" t="str">
            <v>Electric Resistance</v>
          </cell>
        </row>
        <row r="35">
          <cell r="A35" t="str">
            <v>ASHP</v>
          </cell>
        </row>
        <row r="36">
          <cell r="A36" t="str">
            <v>CAC</v>
          </cell>
        </row>
        <row r="37">
          <cell r="A37" t="str">
            <v>Mini-Split Heat Pump</v>
          </cell>
        </row>
        <row r="38">
          <cell r="A38" t="str">
            <v>Window Unit</v>
          </cell>
        </row>
        <row r="39">
          <cell r="A39" t="str">
            <v>2+ CAC Units</v>
          </cell>
        </row>
        <row r="40">
          <cell r="A40" t="str">
            <v>2+ ASHP Units</v>
          </cell>
        </row>
        <row r="41">
          <cell r="A41" t="str">
            <v>NA</v>
          </cell>
        </row>
      </sheetData>
      <sheetData sheetId="12"/>
    </sheetDataSet>
  </externalBook>
</externalLink>
</file>

<file path=xl/persons/person.xml><?xml version="1.0" encoding="utf-8"?>
<personList xmlns="http://schemas.microsoft.com/office/spreadsheetml/2018/threadedcomments" xmlns:x="http://schemas.openxmlformats.org/spreadsheetml/2006/main">
  <person displayName="Froio, Zach" id="{23C54438-DFAD-4E04-B748-607D4C236273}" userId="S::zfroio@ameresco.com::ef5ccb52-72b8-4928-910a-25b3a13ee2a8" providerId="AD"/>
  <person displayName="Dylan Royalty" id="{47798CE7-2A44-4491-8BFE-43490782CD90}" userId="S::droyalty@scottmadden.com::04ac8b8f-a893-48c5-a684-335091891c6c" providerId="AD"/>
  <person displayName="Erica Tillotson" id="{0B5C6C69-9B14-4B5C-8156-D10FCBAA7427}" userId="S::ETillotson@scottmadden.com::f226c056-2670-472b-ab95-64570ff47ffb" providerId="AD"/>
  <person displayName="Erica Tillotson" id="{3300A746-D312-44EA-87E5-8DB840B88844}" userId="S::etillotson@scottmadden.com::f226c056-2670-472b-ab95-64570ff47ffb" providerId="AD"/>
</personList>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G11" dT="2022-10-31T13:44:22.92" personId="{23C54438-DFAD-4E04-B748-607D4C236273}" id="{AE425D88-321C-46D6-9011-0C02205B9037}">
    <text>EIA data from Nov 2021 to March 2022 for Illinois was an average of $2.28 (https://www.eia.gov/dnav/pet/PET_PRI_WFR_DCUS_SIL_W.htm)</text>
  </threadedComment>
  <threadedComment ref="G12" dT="2022-10-31T13:44:22.92" personId="{23C54438-DFAD-4E04-B748-607D4C236273}" id="{4A0BC28A-C06F-4D4D-A877-EDA306D5C646}">
    <text>Annual Energy Outlook 2022, Table 3. Energy Prices by Sector and Source, Reference Case, East North Central, Residential, 2022 Nominal $/MMBtu ($17.297)</text>
  </threadedComment>
</ThreadedComments>
</file>

<file path=xl/threadedComments/threadedComment2.xml><?xml version="1.0" encoding="utf-8"?>
<ThreadedComments xmlns="http://schemas.microsoft.com/office/spreadsheetml/2018/threadedcomments" xmlns:x="http://schemas.openxmlformats.org/spreadsheetml/2006/main">
  <threadedComment ref="F119" dT="2024-02-14T20:57:19.93" personId="{47798CE7-2A44-4491-8BFE-43490782CD90}" id="{F75C1B76-4C2B-4A98-B463-A037BE933AC6}">
    <text>Updated from IL TRM v12</text>
  </threadedComment>
  <threadedComment ref="F204" dT="2024-02-13T18:12:10.38" personId="{47798CE7-2A44-4491-8BFE-43490782CD90}" id="{E3742521-E31E-4783-B66B-74294A29420C}">
    <text>Updated from IL TRM v12</text>
  </threadedComment>
  <threadedComment ref="F208" dT="2024-02-14T20:25:58.75" personId="{47798CE7-2A44-4491-8BFE-43490782CD90}" id="{A4E35F27-6341-43BA-9C30-7C131E89A766}">
    <text>Updated from IL TRM v12</text>
  </threadedComment>
  <threadedComment ref="G236" dT="2022-11-03T14:33:16.87" personId="{23C54438-DFAD-4E04-B748-607D4C236273}" id="{96907EFF-3DCE-4C17-864E-77D50D43F89A}">
    <text>IL TRM v11, Residential Heat Pump DHW Winter Peak and Winter Off-Peak Loadshapes.</text>
  </threadedComment>
  <threadedComment ref="G237" dT="2022-11-03T14:33:16.87" personId="{23C54438-DFAD-4E04-B748-607D4C236273}" id="{DABB7A12-77BB-451D-90A8-25D2AA14AA60}">
    <text>IL TRM v11, Residential Heat Pump DHW Summer Peak and Winter Off-Peak Loadshapes.</text>
  </threadedComment>
  <threadedComment ref="F251" dT="2024-02-14T13:44:29.97" personId="{47798CE7-2A44-4491-8BFE-43490782CD90}" id="{D4D7E163-B05E-4D13-B7F5-BCA56B978470}">
    <text>Updated from IL TRM v12</text>
  </threadedComment>
  <threadedComment ref="F262" dT="2024-02-14T13:43:10.82" personId="{47798CE7-2A44-4491-8BFE-43490782CD90}" id="{C3A056AA-5512-49D8-8D23-F0FF01152477}">
    <text>Updated from IL TRM v12</text>
  </threadedComment>
  <threadedComment ref="F324" dT="2024-02-15T13:00:39.89" personId="{47798CE7-2A44-4491-8BFE-43490782CD90}" id="{3C7A0DEE-BB4B-4614-8698-0ED92A295F54}">
    <text>Updated from IL TRM v12</text>
  </threadedComment>
  <threadedComment ref="F331" dT="2024-01-05T19:05:58.10" personId="{0B5C6C69-9B14-4B5C-8156-D10FCBAA7427}" id="{DA3F0361-DDEF-45DC-A9C0-4EE97DE6F06E}">
    <text>Updated IL TRM v12</text>
  </threadedComment>
  <threadedComment ref="F332" dT="2024-02-15T13:13:21.93" personId="{47798CE7-2A44-4491-8BFE-43490782CD90}" id="{37596C30-293C-4FBF-A917-16657DABB965}">
    <text>Updated from IL TRM v12</text>
  </threadedComment>
  <threadedComment ref="F341" dT="2024-02-15T13:00:39.89" personId="{47798CE7-2A44-4491-8BFE-43490782CD90}" id="{CC3A3AC4-2B1F-40F9-8578-FB3B8B9CB22C}">
    <text>Updated from IL TRM v12</text>
  </threadedComment>
  <threadedComment ref="F351" dT="2024-01-05T19:08:01.29" personId="{0B5C6C69-9B14-4B5C-8156-D10FCBAA7427}" id="{B1BBC839-60E7-4625-9348-ED874C3B777C}">
    <text>Updated IL TRM v12</text>
  </threadedComment>
  <threadedComment ref="F352" dT="2024-02-15T13:13:21.93" personId="{47798CE7-2A44-4491-8BFE-43490782CD90}" id="{2C08EBAB-AD80-4AFC-8764-4AC28B2A86D0}">
    <text>Updated from IL TRM v12</text>
  </threadedComment>
  <threadedComment ref="F355" dT="2024-02-15T13:00:39.89" personId="{47798CE7-2A44-4491-8BFE-43490782CD90}" id="{929D1F0F-1B2A-4988-93EB-9C9A3E3D3540}">
    <text>Updated from IL TRM v12</text>
  </threadedComment>
  <threadedComment ref="F364" dT="2024-02-15T13:00:39.89" personId="{47798CE7-2A44-4491-8BFE-43490782CD90}" id="{3A175AC6-8B9D-44CC-88D7-C5B7AABD684A}">
    <text>Updated from IL TRM v12</text>
  </threadedComment>
  <threadedComment ref="F370" dT="2024-02-15T13:13:21.93" personId="{47798CE7-2A44-4491-8BFE-43490782CD90}" id="{0F2E6E5A-E588-44FC-BA61-DB3DD397BCD3}">
    <text>Updated from IL TRM v12</text>
  </threadedComment>
  <threadedComment ref="F394" dT="2024-02-14T00:02:06.26" personId="{47798CE7-2A44-4491-8BFE-43490782CD90}" id="{6A2ADA4B-D6CD-44BB-B6CE-E6A02938DB27}">
    <text>Updated from IL TRM v12</text>
  </threadedComment>
  <threadedComment ref="F399" dT="2024-02-14T00:04:13.35" personId="{47798CE7-2A44-4491-8BFE-43490782CD90}" id="{EFDF2FD2-E25C-48B7-A34D-C7154CEE6561}">
    <text>Updated from IL TRM v12</text>
  </threadedComment>
  <threadedComment ref="F409" dT="2024-02-14T00:02:06.26" personId="{47798CE7-2A44-4491-8BFE-43490782CD90}" id="{D67C0939-CABE-4A05-A8EE-943220F0B6B2}">
    <text>Updated from IL TRM v12</text>
  </threadedComment>
  <threadedComment ref="F413" dT="2024-02-14T00:13:29.08" personId="{47798CE7-2A44-4491-8BFE-43490782CD90}" id="{B8526AED-4E50-456A-874C-AC3F652A0F65}">
    <text>Updated from IL TRM v12</text>
  </threadedComment>
  <threadedComment ref="F419" dT="2024-02-14T00:17:04.02" personId="{47798CE7-2A44-4491-8BFE-43490782CD90}" id="{7B7BC869-1E01-4DAA-BF11-010EAD747B3F}">
    <text>Updated from IL TRM v12</text>
  </threadedComment>
  <threadedComment ref="F423" dT="2024-02-14T00:02:06.26" personId="{47798CE7-2A44-4491-8BFE-43490782CD90}" id="{DAA1139B-84F2-425B-94FB-903806720E07}">
    <text>Updated from IL TRM v12</text>
  </threadedComment>
  <threadedComment ref="F432" dT="2024-02-14T00:02:06.26" personId="{47798CE7-2A44-4491-8BFE-43490782CD90}" id="{923F9738-1520-4E4E-AFDE-0AA8187FB9AC}">
    <text>Updated from IL TRM v12</text>
  </threadedComment>
  <threadedComment ref="F436" dT="2024-02-14T00:21:52.27" personId="{47798CE7-2A44-4491-8BFE-43490782CD90}" id="{8929E872-3329-420E-AA16-BA8AACB0E16A}">
    <text>Updated from IL TRM v12</text>
  </threadedComment>
  <threadedComment ref="F448" dT="2024-02-13T23:45:45.46" personId="{47798CE7-2A44-4491-8BFE-43490782CD90}" id="{EF2D5814-7A7E-4140-B2DA-DB94F1A44D5D}">
    <text>Updated from IL TRM v12</text>
  </threadedComment>
  <threadedComment ref="F462" dT="2024-02-14T00:02:06.26" personId="{47798CE7-2A44-4491-8BFE-43490782CD90}" id="{14B12D10-9C89-4808-B817-14BAB774727C}">
    <text>Updated from IL TRM v12</text>
  </threadedComment>
  <threadedComment ref="F467" dT="2024-02-14T00:04:13.35" personId="{47798CE7-2A44-4491-8BFE-43490782CD90}" id="{D1708768-0E30-445A-B41F-5D2FF4F9AC6F}">
    <text>Updated from IL TRM v12</text>
  </threadedComment>
  <threadedComment ref="F477" dT="2024-02-14T00:02:06.26" personId="{47798CE7-2A44-4491-8BFE-43490782CD90}" id="{2C6C3D46-7CC9-4A5B-9F70-317B3EC7E5AC}">
    <text>Updated from IL TRM v12</text>
  </threadedComment>
  <threadedComment ref="F481" dT="2024-02-14T00:13:29.08" personId="{47798CE7-2A44-4491-8BFE-43490782CD90}" id="{7246A085-9D53-48FE-BDAA-EBD3838EAC3D}">
    <text>Updated from IL TRM v12</text>
  </threadedComment>
  <threadedComment ref="F487" dT="2024-02-14T00:17:04.02" personId="{47798CE7-2A44-4491-8BFE-43490782CD90}" id="{B7A867A8-B5E0-4BD6-B492-656331C267DD}">
    <text>Updated from IL TRM v12</text>
  </threadedComment>
  <threadedComment ref="F491" dT="2024-02-14T00:02:06.26" personId="{47798CE7-2A44-4491-8BFE-43490782CD90}" id="{D9EE27E5-D06E-48E3-B5DA-E1992ED1107E}">
    <text>Updated from IL TRM v12</text>
  </threadedComment>
  <threadedComment ref="F500" dT="2024-02-14T00:02:06.26" personId="{47798CE7-2A44-4491-8BFE-43490782CD90}" id="{D1B8429F-962A-467C-B886-063BC381659F}">
    <text>Updated from IL TRM v12</text>
  </threadedComment>
  <threadedComment ref="F504" dT="2024-02-14T00:21:52.27" personId="{47798CE7-2A44-4491-8BFE-43490782CD90}" id="{CEC5B95D-2574-443F-8447-58403277BA4C}">
    <text>Updated from IL TRM v12</text>
  </threadedComment>
  <threadedComment ref="F516" dT="2024-02-13T23:45:45.46" personId="{47798CE7-2A44-4491-8BFE-43490782CD90}" id="{821D0CA6-5049-4FEC-81EE-5638FED0D470}">
    <text>Updated from IL TRM v12</text>
  </threadedComment>
  <threadedComment ref="F530" dT="2024-02-14T00:37:44.04" personId="{47798CE7-2A44-4491-8BFE-43490782CD90}" id="{3CE8AC87-ECAD-4B54-9BAC-FE3A513B731C}">
    <text>Updated from IL TRM v12</text>
  </threadedComment>
  <threadedComment ref="F535" dT="2024-02-14T00:38:57.12" personId="{47798CE7-2A44-4491-8BFE-43490782CD90}" id="{E0A12723-2CDE-4F05-AB7B-B53601654796}">
    <text>Updated from IL TRM v12</text>
  </threadedComment>
  <threadedComment ref="F544" dT="2024-02-14T00:37:44.04" personId="{47798CE7-2A44-4491-8BFE-43490782CD90}" id="{B0D98F43-2AAF-414E-AB9A-0977698F99DB}">
    <text>Updated from IL TRM v12</text>
  </threadedComment>
  <threadedComment ref="F548" dT="2024-02-14T00:38:57.12" personId="{47798CE7-2A44-4491-8BFE-43490782CD90}" id="{38AEEF91-46AC-49FA-820B-F6C8E7EBCF82}">
    <text>Updated from IL TRM v12</text>
  </threadedComment>
  <threadedComment ref="F558" dT="2024-02-14T00:37:44.04" personId="{47798CE7-2A44-4491-8BFE-43490782CD90}" id="{46A80016-5BDB-4CA1-B043-102CE86C78AA}">
    <text>Updated from IL TRM v12</text>
  </threadedComment>
  <threadedComment ref="F567" dT="2024-02-14T00:37:44.04" personId="{47798CE7-2A44-4491-8BFE-43490782CD90}" id="{E916884F-5040-4A14-88B7-AAC5247C3BD5}">
    <text>Updated from IL TRM v12</text>
  </threadedComment>
  <threadedComment ref="F571" dT="2024-02-14T00:38:57.12" personId="{47798CE7-2A44-4491-8BFE-43490782CD90}" id="{25A9CB5F-C25A-453A-A3ED-8E97512FB2D0}">
    <text>Updated from IL TRM v12</text>
  </threadedComment>
  <threadedComment ref="F582" dT="2024-02-14T00:34:36.99" personId="{47798CE7-2A44-4491-8BFE-43490782CD90}" id="{AB21F52F-73B4-46EF-B0F7-AD6F5C190906}">
    <text>Updated from IL TRM v12</text>
  </threadedComment>
  <threadedComment ref="F596" dT="2024-02-14T00:37:44.04" personId="{47798CE7-2A44-4491-8BFE-43490782CD90}" id="{552E379E-AF9F-4C67-8241-DAD643236FCF}">
    <text>Updated from IL TRM v12</text>
  </threadedComment>
  <threadedComment ref="F601" dT="2024-02-14T00:38:57.12" personId="{47798CE7-2A44-4491-8BFE-43490782CD90}" id="{4715942A-8660-43F8-9B3C-2B8DFFF660F5}">
    <text>Updated from IL TRM v12</text>
  </threadedComment>
  <threadedComment ref="F610" dT="2024-02-14T00:37:44.04" personId="{47798CE7-2A44-4491-8BFE-43490782CD90}" id="{91983669-CF21-419B-A094-72D299307974}">
    <text>Updated from IL TRM v12</text>
  </threadedComment>
  <threadedComment ref="F614" dT="2024-02-14T00:38:57.12" personId="{47798CE7-2A44-4491-8BFE-43490782CD90}" id="{8609681C-202E-453A-8507-1965B5E863D7}">
    <text>Updated from IL TRM v12</text>
  </threadedComment>
  <threadedComment ref="F624" dT="2024-02-14T00:37:44.04" personId="{47798CE7-2A44-4491-8BFE-43490782CD90}" id="{8C55C8BB-3339-45EF-A9F4-5F372CC08BFD}">
    <text>Updated from IL TRM v12</text>
  </threadedComment>
  <threadedComment ref="F633" dT="2024-02-14T00:37:44.04" personId="{47798CE7-2A44-4491-8BFE-43490782CD90}" id="{D8F97126-4F63-492F-A209-3C9B9C98EEE1}">
    <text>Updated from IL TRM v12</text>
  </threadedComment>
  <threadedComment ref="F637" dT="2024-02-14T00:38:57.12" personId="{47798CE7-2A44-4491-8BFE-43490782CD90}" id="{E6DAFE45-BBCE-4727-906A-32B2D46BBEF8}">
    <text>Updated from IL TRM v12</text>
  </threadedComment>
  <threadedComment ref="F648" dT="2024-02-14T00:34:36.99" personId="{47798CE7-2A44-4491-8BFE-43490782CD90}" id="{FA1C6331-A7CB-413D-8753-7FB8CABB15FF}">
    <text>Updated from IL TRM v12</text>
  </threadedComment>
  <threadedComment ref="F662" dT="2024-02-14T00:37:44.04" personId="{47798CE7-2A44-4491-8BFE-43490782CD90}" id="{7D1BB628-7593-47AC-8EFD-4CB4F5612EA6}">
    <text>Updated from IL TRM v12</text>
  </threadedComment>
  <threadedComment ref="F665" dT="2023-12-18T21:44:55.58" personId="{3300A746-D312-44EA-87E5-8DB840B88844}" id="{A3F008B8-FC7A-4998-83B5-CEC0C0C8A3E0}">
    <text>Updated IL TRM v12</text>
  </threadedComment>
  <threadedComment ref="F667" dT="2023-12-18T21:44:13.52" personId="{3300A746-D312-44EA-87E5-8DB840B88844}" id="{21785FBC-382E-4DB0-9B0B-67932B774F37}">
    <text>Updated IL TRM v12</text>
  </threadedComment>
  <threadedComment ref="F676" dT="2024-02-14T00:37:44.04" personId="{47798CE7-2A44-4491-8BFE-43490782CD90}" id="{2D13AAE8-2759-4516-9CC9-9764985A6D40}">
    <text>Updated from IL TRM v12</text>
  </threadedComment>
  <threadedComment ref="F680" dT="2024-01-02T15:11:16.88" personId="{0B5C6C69-9B14-4B5C-8156-D10FCBAA7427}" id="{1F0D504A-1118-4FB2-BB87-1484A6DE387E}">
    <text>Updated IL v12</text>
  </threadedComment>
  <threadedComment ref="F690" dT="2024-02-14T00:37:44.04" personId="{47798CE7-2A44-4491-8BFE-43490782CD90}" id="{6C5275B1-4DEB-4F11-BA93-9E1759A8ADBA}">
    <text>Updated from IL TRM v12</text>
  </threadedComment>
  <threadedComment ref="F699" dT="2024-02-14T00:37:44.04" personId="{47798CE7-2A44-4491-8BFE-43490782CD90}" id="{9CD02833-B833-4C51-8EA9-3D5A85C40C17}">
    <text>Updated from IL TRM v12</text>
  </threadedComment>
  <threadedComment ref="F714" dT="2023-12-18T21:40:00.68" personId="{3300A746-D312-44EA-87E5-8DB840B88844}" id="{2D7E7569-BA7B-4675-9C9D-D032609C3DF1}">
    <text>Updated IL TRM v12</text>
  </threadedComment>
  <threadedComment ref="F727" dT="2024-02-14T00:37:44.04" personId="{47798CE7-2A44-4491-8BFE-43490782CD90}" id="{A301CF86-3363-4AF0-9169-707B0F727157}">
    <text>Updated from IL TRM v12</text>
  </threadedComment>
  <threadedComment ref="F730" dT="2024-01-05T19:33:42.00" personId="{0B5C6C69-9B14-4B5C-8156-D10FCBAA7427}" id="{FC4DA675-B2B9-488D-92C5-BD14C8ABB04B}">
    <text>Updated IL TRM v12</text>
  </threadedComment>
  <threadedComment ref="F741" dT="2024-02-14T00:37:44.04" personId="{47798CE7-2A44-4491-8BFE-43490782CD90}" id="{A2BF88A7-39DD-4702-B23F-6533EF6641C1}">
    <text>Updated from IL TRM v12</text>
  </threadedComment>
  <threadedComment ref="F743" dT="2024-01-05T19:35:07.62" personId="{0B5C6C69-9B14-4B5C-8156-D10FCBAA7427}" id="{0BF36A7D-570B-42AC-84A2-91C1F9906374}">
    <text>Updated IL TRM v12</text>
  </threadedComment>
  <threadedComment ref="F756" dT="2024-02-14T00:37:44.04" personId="{47798CE7-2A44-4491-8BFE-43490782CD90}" id="{3FE3C84F-C5A0-40AD-9803-9AD45FDBA2A4}">
    <text>Updated from IL TRM v12</text>
  </threadedComment>
  <threadedComment ref="F764" dT="2024-02-14T00:37:44.04" personId="{47798CE7-2A44-4491-8BFE-43490782CD90}" id="{2EC2A5E5-FC0E-4490-8290-5697311314E2}">
    <text>Updated from IL TRM v12</text>
  </threadedComment>
  <threadedComment ref="F780" dT="2024-01-05T19:31:00.31" personId="{0B5C6C69-9B14-4B5C-8156-D10FCBAA7427}" id="{BA1616B0-8FD5-4680-A678-D9379072E100}">
    <text>Updated IL TRM v12</text>
  </threadedComment>
  <threadedComment ref="F796" dT="2024-02-14T00:37:44.04" personId="{47798CE7-2A44-4491-8BFE-43490782CD90}" id="{4DE137E1-8F3B-48C6-B4EB-9C58AAE73378}">
    <text>Updated from IL TRM v12</text>
  </threadedComment>
  <threadedComment ref="F801" dT="2023-12-18T20:42:54.76" personId="{3300A746-D312-44EA-87E5-8DB840B88844}" id="{2CD45DC7-2EF2-4FB0-B506-4C041000D7A6}">
    <text>Updated IL TRM v12</text>
  </threadedComment>
  <threadedComment ref="F819" dT="2024-02-14T00:37:44.04" personId="{47798CE7-2A44-4491-8BFE-43490782CD90}" id="{691310D0-01B4-4CDC-8270-F998B77977C4}">
    <text>Updated from IL TRM v12</text>
  </threadedComment>
  <threadedComment ref="F833" dT="2024-02-14T00:37:44.04" personId="{47798CE7-2A44-4491-8BFE-43490782CD90}" id="{A3760FB7-13B1-4674-8532-C1DD22B2036B}">
    <text>Updated from IL TRM v12</text>
  </threadedComment>
  <threadedComment ref="F851" dT="2024-02-14T00:37:44.04" personId="{47798CE7-2A44-4491-8BFE-43490782CD90}" id="{8084FEDF-2715-4670-A3DD-167FCC333438}">
    <text>Updated from IL TRM v12</text>
  </threadedComment>
  <threadedComment ref="F855" dT="2023-12-18T20:58:29.68" personId="{3300A746-D312-44EA-87E5-8DB840B88844}" id="{A827B1BB-5BD1-4663-8BEC-1C074241E73B}">
    <text>Updated IL TRM v12</text>
  </threadedComment>
  <threadedComment ref="F866" dT="2023-12-18T20:31:09.32" personId="{3300A746-D312-44EA-87E5-8DB840B88844}" id="{3CF4FFB5-E36B-4A0D-B3EA-7878DB760009}">
    <text>Updated IL TRM v12</text>
  </threadedComment>
</ThreadedComments>
</file>

<file path=xl/threadedComments/threadedComment3.xml><?xml version="1.0" encoding="utf-8"?>
<ThreadedComments xmlns="http://schemas.microsoft.com/office/spreadsheetml/2018/threadedcomments" xmlns:x="http://schemas.openxmlformats.org/spreadsheetml/2006/main">
  <threadedComment ref="C15" dT="2022-10-31T13:48:44.31" personId="{23C54438-DFAD-4E04-B748-607D4C236273}" id="{865301CD-0A95-4A36-8196-80C5FF92E5C2}">
    <text>https://www.eia.gov/energyexplained/units-and-calculators/british-thermal-units.php</text>
  </threadedComment>
  <threadedComment ref="D15" dT="2022-10-31T13:49:21.47" personId="{23C54438-DFAD-4E04-B748-607D4C236273}" id="{21EC71A6-B9DD-4C11-8702-FDF6E82F7648}">
    <text>https://www.eia.gov/environment/emissions/co2_vol_mass.php</text>
  </threadedComment>
  <threadedComment ref="D16" dT="2022-10-31T13:49:21.47" personId="{23C54438-DFAD-4E04-B748-607D4C236273}" id="{575A0B68-B235-4A87-9D59-6F6331A84E2D}">
    <text>https://www.eia.gov/environment/emissions/co2_vol_mass.php</text>
  </threadedComment>
  <threadedComment ref="C17" dT="2022-10-31T13:48:51.26" personId="{23C54438-DFAD-4E04-B748-607D4C236273}" id="{B0A3DDF5-0279-4091-997C-6DA16D04A33D}">
    <text>https://www.eia.gov/energyexplained/units-and-calculators/british-thermal-units.php</text>
  </threadedComment>
  <threadedComment ref="D17" dT="2022-10-31T13:49:21.47" personId="{23C54438-DFAD-4E04-B748-607D4C236273}" id="{E7B5905B-65D8-433D-AFBD-3C242F634468}">
    <text>https://www.eia.gov/environment/emissions/co2_vol_mass.php</text>
  </threadedComment>
  <threadedComment ref="D18" dT="2022-10-31T13:57:21.94" personId="{23C54438-DFAD-4E04-B748-607D4C236273}" id="{BFC91ABD-329B-47F8-9B13-500D13DB5FFF}">
    <text>AIC Emissions Factor Forecast, 2022.</text>
  </threadedComment>
</ThreadedComments>
</file>

<file path=xl/worksheets/_rels/sheet1.xml.rels><?xml version="1.0" encoding="UTF-8" standalone="yes"?>
<Relationships xmlns="http://schemas.openxmlformats.org/package/2006/relationships"><Relationship Id="rId8" Type="http://schemas.openxmlformats.org/officeDocument/2006/relationships/hyperlink" Target="https://www.energystar.gov/productfinder/product/certified-water-heaters/?formId=35512-95-41-3-73448111&amp;scrollTo=300&amp;search_text=&amp;fuel_filter=&amp;type2_filter=120+Volt+Integrated+Electric+Heat+Pump&amp;brand_name_isopen=0&amp;markets_filter=United+States&amp;zip_code_filter=&amp;product_types=Select+a+Product+Category&amp;sort_by=brand_name&amp;sort_direction=asc&amp;currentZipCode=20190&amp;page_number=0&amp;lastpage=0" TargetMode="External"/><Relationship Id="rId3" Type="http://schemas.openxmlformats.org/officeDocument/2006/relationships/hyperlink" Target="https://www.energystar.gov/most-efficient/me-certified-ventilating-fans/results?formId=33bb60e8-bccf-4108-b826-77cd1a087bd5&amp;scrollTo=300&amp;search_text=&amp;low_price=&amp;high_price=&amp;unit_type_filter=&amp;is_most_efficient_filter=Most+Efficient&amp;is_most_efficient_filter=0&amp;brand_name_isopen=0&amp;duct_size_isopen=0&amp;markets_filter=United+States&amp;zip_code_filter=&amp;product_types=Select+a+Product+Category&amp;sort_by=efficacy_1_cfm_w&amp;sort_direction=desc&amp;currentZipCode=20879&amp;page_number=0&amp;lastpage=0" TargetMode="External"/><Relationship Id="rId7" Type="http://schemas.openxmlformats.org/officeDocument/2006/relationships/hyperlink" Target="https://www.energystar.gov/productfinder/product/certified-water-heaters/?formId=35fc51d2-a95b-4b1e-aa3c-7cb34ed48111&amp;scrollTo=0&amp;search_text=&amp;fuel_filter=&amp;type2_filter=240+Volt+Integrated+Electric+Heat+Pump&amp;brand_name_isopen=0&amp;markets_filter=United+States&amp;zip_code_filter=&amp;product_types=Select+a+Product+Category&amp;sort_by=brand_name&amp;sort_direction=asc&amp;currentZipCode=20190&amp;page_number=0&amp;lastpage=0" TargetMode="External"/><Relationship Id="rId12" Type="http://schemas.openxmlformats.org/officeDocument/2006/relationships/drawing" Target="../drawings/drawing1.xml"/><Relationship Id="rId2" Type="http://schemas.openxmlformats.org/officeDocument/2006/relationships/hyperlink" Target="https://www.energystar.gov/productfinder/product/certified-water-heaters/?formId=35fc51d2-a95b-4b1e-aa3c-7cb34ed48111&amp;scrollTo=0&amp;search_text=&amp;fuel_filter=&amp;type2_filter=240+Volt+Integrated+Electric+Heat+Pump&amp;brand_name_isopen=0&amp;markets_filter=United+States&amp;zip_code_filter=&amp;product_types=Select+a+Product+Category&amp;sort_by=brand_name&amp;sort_direction=asc&amp;currentZipCode=20190&amp;page_number=0&amp;lastpage=0" TargetMode="External"/><Relationship Id="rId1" Type="http://schemas.openxmlformats.org/officeDocument/2006/relationships/hyperlink" Target="https://www.energystar.gov/productfinder/product/certified-connected-thermostats/results" TargetMode="External"/><Relationship Id="rId6" Type="http://schemas.openxmlformats.org/officeDocument/2006/relationships/hyperlink" Target="https://www.energystar.gov/productfinder/" TargetMode="External"/><Relationship Id="rId11" Type="http://schemas.openxmlformats.org/officeDocument/2006/relationships/printerSettings" Target="../printerSettings/printerSettings1.bin"/><Relationship Id="rId5" Type="http://schemas.openxmlformats.org/officeDocument/2006/relationships/hyperlink" Target="https://www.amerenillinoissavings.com/wp-content/uploads/2021/05/py18-hep-duct-sealing-work-specification.pdf" TargetMode="External"/><Relationship Id="rId10" Type="http://schemas.openxmlformats.org/officeDocument/2006/relationships/hyperlink" Target="https://www.energystar.gov/productfinder/product/certified-ventilating-fans/results?formId=33608--4108-826-7710875&amp;scrollTo=300&amp;search_text=&amp;low_price=&amp;high_price=&amp;unit_type_filter=&amp;is_most_efficient_filter=0&amp;brand_name_isopen=0&amp;duct_size_isopen=0&amp;markets_filter=United+States&amp;zip_code_filter=&amp;product_types=Select+a+Product+Category&amp;sort_by=efficacy_1_cfm_w&amp;sort_direction=desc&amp;currentZipCode=20879&amp;page_number=0&amp;lastpage=0" TargetMode="External"/><Relationship Id="rId4" Type="http://schemas.openxmlformats.org/officeDocument/2006/relationships/hyperlink" Target="https://www.energystar.gov/productfinder/product/certified-room-air-conditioners/results" TargetMode="External"/><Relationship Id="rId9" Type="http://schemas.openxmlformats.org/officeDocument/2006/relationships/hyperlink" Target="https://www.energystar.gov/productfinder/product/certified-water-heaters/?formId=b1996c2c-a28a-44cc-9017-d8a55ca1b0e7&amp;scrollTo=600&amp;search_text=&amp;fuel_filter=&amp;type2_filter=Gas+Storage&amp;brand_name_isopen=0&amp;markets_filter=United+States&amp;zip_code_filter=&amp;product_types=Select+a+Product+Category&amp;sort_by=uniform_energy_factor_uef&amp;sort_direction=desc&amp;currentZipCode=20879&amp;page_number=0&amp;lastpage=0"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11.bin"/><Relationship Id="rId4" Type="http://schemas.openxmlformats.org/officeDocument/2006/relationships/comments" Target="../comments3.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12.bin"/><Relationship Id="rId4" Type="http://schemas.openxmlformats.org/officeDocument/2006/relationships/comments" Target="../comments4.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 Id="rId4" Type="http://schemas.microsoft.com/office/2017/10/relationships/threadedComment" Target="../threadedComments/threadedComment1.xml"/></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5.bin"/><Relationship Id="rId4" Type="http://schemas.microsoft.com/office/2017/10/relationships/threadedComment" Target="../threadedComments/threadedComment2.xml"/></Relationships>
</file>

<file path=xl/worksheets/_rels/sheet1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6.bin"/><Relationship Id="rId4" Type="http://schemas.microsoft.com/office/2017/10/relationships/threadedComment" Target="../threadedComments/threadedComment3.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ResidentialEEApplications@ameren.com"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mailto:ResidentialEEApplications@ameren.com"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D439B7-E668-4F7C-B4D5-B03BBD832846}">
  <sheetPr>
    <tabColor rgb="FF92D050"/>
  </sheetPr>
  <dimension ref="A1:AO75"/>
  <sheetViews>
    <sheetView zoomScale="115" zoomScaleNormal="115" workbookViewId="0">
      <selection activeCell="AJ16" sqref="AJ16:AK16"/>
    </sheetView>
  </sheetViews>
  <sheetFormatPr defaultRowHeight="14.4"/>
  <cols>
    <col min="1" max="42" width="2.6640625" customWidth="1"/>
  </cols>
  <sheetData>
    <row r="1" spans="1:41" ht="18" customHeight="1">
      <c r="A1" s="4"/>
      <c r="B1" s="307" t="s">
        <v>528</v>
      </c>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row>
    <row r="2" spans="1:41" ht="18" customHeight="1">
      <c r="A2" s="4"/>
      <c r="B2" s="308" t="s">
        <v>932</v>
      </c>
      <c r="C2" s="308"/>
      <c r="D2" s="308"/>
      <c r="E2" s="308"/>
      <c r="F2" s="308"/>
      <c r="G2" s="308"/>
      <c r="H2" s="308"/>
      <c r="I2" s="308"/>
      <c r="J2" s="308"/>
      <c r="K2" s="308"/>
      <c r="L2" s="308"/>
      <c r="M2" s="308"/>
      <c r="N2" s="308"/>
      <c r="O2" s="308"/>
      <c r="P2" s="308"/>
      <c r="Q2" s="308"/>
      <c r="R2" s="308"/>
      <c r="S2" s="308"/>
      <c r="T2" s="308"/>
      <c r="U2" s="308"/>
      <c r="V2" s="308"/>
      <c r="W2" s="308"/>
      <c r="X2" s="308"/>
      <c r="Y2" s="308"/>
      <c r="Z2" s="308"/>
      <c r="AA2" s="308"/>
      <c r="AB2" s="308"/>
      <c r="AC2" s="308"/>
      <c r="AD2" s="308"/>
      <c r="AE2" s="308"/>
      <c r="AF2" s="308"/>
      <c r="AG2" s="308"/>
      <c r="AH2" s="4"/>
      <c r="AI2" s="4"/>
      <c r="AJ2" s="4"/>
      <c r="AK2" s="4"/>
      <c r="AL2" s="4"/>
      <c r="AM2" s="4"/>
      <c r="AN2" s="4"/>
      <c r="AO2" s="4"/>
    </row>
    <row r="3" spans="1:41" ht="18" customHeight="1">
      <c r="A3" s="4"/>
      <c r="B3" s="308"/>
      <c r="C3" s="408" t="s">
        <v>956</v>
      </c>
      <c r="D3" s="308"/>
      <c r="E3" s="308"/>
      <c r="F3" s="308"/>
      <c r="G3" s="308"/>
      <c r="H3" s="308"/>
      <c r="I3" s="308"/>
      <c r="J3" s="308"/>
      <c r="K3" s="308"/>
      <c r="L3" s="308"/>
      <c r="M3" s="308"/>
      <c r="N3" s="308"/>
      <c r="O3" s="308"/>
      <c r="P3" s="308"/>
      <c r="Q3" s="308"/>
      <c r="R3" s="308"/>
      <c r="S3" s="308"/>
      <c r="T3" s="308"/>
      <c r="U3" s="308"/>
      <c r="V3" s="308"/>
      <c r="W3" s="308"/>
      <c r="X3" s="308"/>
      <c r="Y3" s="308"/>
      <c r="Z3" s="308"/>
      <c r="AA3" s="308"/>
      <c r="AB3" s="308"/>
      <c r="AC3" s="308"/>
      <c r="AD3" s="308"/>
      <c r="AE3" s="308"/>
      <c r="AF3" s="308"/>
      <c r="AG3" s="308"/>
      <c r="AH3" s="4"/>
      <c r="AI3" s="4"/>
      <c r="AJ3" s="4"/>
      <c r="AK3" s="4"/>
      <c r="AL3" s="4"/>
      <c r="AM3" s="4"/>
      <c r="AN3" s="4"/>
      <c r="AO3" s="4"/>
    </row>
    <row r="4" spans="1:41" ht="18" customHeight="1">
      <c r="A4" s="4"/>
      <c r="B4" s="308"/>
      <c r="C4" s="308" t="s">
        <v>930</v>
      </c>
      <c r="D4" s="308"/>
      <c r="E4" s="308"/>
      <c r="F4" s="308"/>
      <c r="G4" s="308"/>
      <c r="H4" s="308"/>
      <c r="I4" s="308"/>
      <c r="J4" s="308"/>
      <c r="K4" s="308"/>
      <c r="L4" s="308"/>
      <c r="M4" s="308"/>
      <c r="N4" s="308"/>
      <c r="O4" s="308"/>
      <c r="P4" s="308"/>
      <c r="Q4" s="308"/>
      <c r="R4" s="308"/>
      <c r="S4" s="308"/>
      <c r="T4" s="308"/>
      <c r="U4" s="308"/>
      <c r="V4" s="308"/>
      <c r="W4" s="308"/>
      <c r="X4" s="308"/>
      <c r="Y4" s="308"/>
      <c r="Z4" s="308"/>
      <c r="AA4" s="308"/>
      <c r="AB4" s="308"/>
      <c r="AC4" s="308"/>
      <c r="AD4" s="308"/>
      <c r="AE4" s="308"/>
      <c r="AF4" s="308"/>
      <c r="AG4" s="308"/>
      <c r="AH4" s="4"/>
      <c r="AI4" s="4"/>
      <c r="AJ4" s="4"/>
      <c r="AK4" s="4"/>
      <c r="AL4" s="4"/>
      <c r="AM4" s="4"/>
      <c r="AN4" s="4"/>
      <c r="AO4" s="4"/>
    </row>
    <row r="5" spans="1:41" ht="18" customHeight="1">
      <c r="A5" s="4"/>
      <c r="B5" s="308"/>
      <c r="C5" s="308" t="s">
        <v>931</v>
      </c>
      <c r="D5" s="308"/>
      <c r="E5" s="308"/>
      <c r="F5" s="308"/>
      <c r="G5" s="308"/>
      <c r="H5" s="308"/>
      <c r="I5" s="308"/>
      <c r="J5" s="308"/>
      <c r="K5" s="308"/>
      <c r="L5" s="308"/>
      <c r="M5" s="308"/>
      <c r="N5" s="308"/>
      <c r="O5" s="308"/>
      <c r="P5" s="308"/>
      <c r="Q5" s="308"/>
      <c r="R5" s="308"/>
      <c r="S5" s="308"/>
      <c r="T5" s="308"/>
      <c r="U5" s="308"/>
      <c r="V5" s="308"/>
      <c r="W5" s="308"/>
      <c r="X5" s="308"/>
      <c r="Y5" s="308"/>
      <c r="Z5" s="308"/>
      <c r="AA5" s="308"/>
      <c r="AB5" s="308"/>
      <c r="AC5" s="308"/>
      <c r="AD5" s="308"/>
      <c r="AE5" s="308"/>
      <c r="AF5" s="308"/>
      <c r="AG5" s="308"/>
      <c r="AH5" s="4"/>
      <c r="AI5" s="4"/>
      <c r="AJ5" s="4"/>
      <c r="AK5" s="4"/>
      <c r="AL5" s="4"/>
      <c r="AM5" s="4"/>
      <c r="AN5" s="4"/>
      <c r="AO5" s="4"/>
    </row>
    <row r="6" spans="1:41" ht="18" customHeight="1">
      <c r="A6" s="4"/>
      <c r="B6" s="308"/>
      <c r="C6" s="308" t="s">
        <v>945</v>
      </c>
      <c r="D6" s="308"/>
      <c r="E6" s="308"/>
      <c r="F6" s="308"/>
      <c r="G6" s="308"/>
      <c r="H6" s="308"/>
      <c r="I6" s="308"/>
      <c r="J6" s="308"/>
      <c r="K6" s="308"/>
      <c r="L6" s="308"/>
      <c r="M6" s="308"/>
      <c r="N6" s="308"/>
      <c r="O6" s="308"/>
      <c r="P6" s="308"/>
      <c r="Q6" s="308"/>
      <c r="R6" s="308"/>
      <c r="S6" s="308"/>
      <c r="T6" s="308"/>
      <c r="U6" s="308"/>
      <c r="V6" s="308"/>
      <c r="W6" s="308"/>
      <c r="X6" s="308"/>
      <c r="Y6" s="308"/>
      <c r="Z6" s="308"/>
      <c r="AA6" s="308"/>
      <c r="AB6" s="308"/>
      <c r="AC6" s="308"/>
      <c r="AD6" s="308"/>
      <c r="AE6" s="308"/>
      <c r="AF6" s="308"/>
      <c r="AG6" s="308"/>
      <c r="AH6" s="4"/>
      <c r="AI6" s="4"/>
      <c r="AJ6" s="4"/>
      <c r="AK6" s="4"/>
      <c r="AL6" s="4"/>
      <c r="AM6" s="4"/>
      <c r="AN6" s="4"/>
      <c r="AO6" s="4"/>
    </row>
    <row r="7" spans="1:41" ht="18" customHeight="1">
      <c r="A7" s="4"/>
      <c r="B7" s="308"/>
      <c r="C7" s="308" t="s">
        <v>939</v>
      </c>
      <c r="D7" s="308"/>
      <c r="E7" s="308"/>
      <c r="F7" s="308"/>
      <c r="G7" s="308"/>
      <c r="H7" s="308"/>
      <c r="I7" s="308"/>
      <c r="J7" s="308"/>
      <c r="K7" s="308"/>
      <c r="L7" s="308"/>
      <c r="M7" s="308"/>
      <c r="N7" s="308"/>
      <c r="O7" s="308"/>
      <c r="P7" s="308"/>
      <c r="Q7" s="308"/>
      <c r="R7" s="308"/>
      <c r="S7" s="308"/>
      <c r="T7" s="308"/>
      <c r="U7" s="308"/>
      <c r="V7" s="308"/>
      <c r="W7" s="308"/>
      <c r="X7" s="308"/>
      <c r="Y7" s="308"/>
      <c r="Z7" s="308"/>
      <c r="AA7" s="308"/>
      <c r="AB7" s="308"/>
      <c r="AC7" s="308"/>
      <c r="AD7" s="308"/>
      <c r="AE7" s="308"/>
      <c r="AF7" s="308"/>
      <c r="AG7" s="308"/>
      <c r="AH7" s="4"/>
      <c r="AI7" s="4"/>
      <c r="AJ7" s="4"/>
      <c r="AK7" s="4"/>
      <c r="AL7" s="4"/>
      <c r="AM7" s="4"/>
      <c r="AN7" s="4"/>
      <c r="AO7" s="4"/>
    </row>
    <row r="8" spans="1:41" ht="18" customHeight="1">
      <c r="A8" s="4"/>
      <c r="B8" s="308"/>
      <c r="C8" s="308" t="s">
        <v>940</v>
      </c>
      <c r="D8" s="308"/>
      <c r="E8" s="308"/>
      <c r="F8" s="308"/>
      <c r="G8" s="308"/>
      <c r="H8" s="308"/>
      <c r="I8" s="308"/>
      <c r="J8" s="308"/>
      <c r="K8" s="308"/>
      <c r="L8" s="308"/>
      <c r="M8" s="308"/>
      <c r="N8" s="308"/>
      <c r="O8" s="308"/>
      <c r="P8" s="308"/>
      <c r="Q8" s="308"/>
      <c r="R8" s="308"/>
      <c r="S8" s="308"/>
      <c r="T8" s="308"/>
      <c r="U8" s="308"/>
      <c r="V8" s="308"/>
      <c r="W8" s="308"/>
      <c r="X8" s="308"/>
      <c r="Y8" s="308"/>
      <c r="Z8" s="308"/>
      <c r="AA8" s="308"/>
      <c r="AB8" s="308"/>
      <c r="AC8" s="308"/>
      <c r="AD8" s="308"/>
      <c r="AE8" s="308"/>
      <c r="AF8" s="308"/>
      <c r="AG8" s="308"/>
      <c r="AH8" s="4"/>
      <c r="AI8" s="4"/>
      <c r="AJ8" s="4"/>
      <c r="AK8" s="4"/>
      <c r="AL8" s="4"/>
      <c r="AM8" s="4"/>
      <c r="AN8" s="4"/>
      <c r="AO8" s="4"/>
    </row>
    <row r="9" spans="1:41" ht="18" customHeight="1">
      <c r="A9" s="4"/>
      <c r="B9" s="308" t="s">
        <v>938</v>
      </c>
      <c r="C9" s="308"/>
      <c r="D9" s="308"/>
      <c r="E9" s="308"/>
      <c r="F9" s="308"/>
      <c r="G9" s="308"/>
      <c r="H9" s="308"/>
      <c r="I9" s="308"/>
      <c r="J9" s="308"/>
      <c r="K9" s="308"/>
      <c r="L9" s="308"/>
      <c r="M9" s="308"/>
      <c r="N9" s="308"/>
      <c r="O9" s="308"/>
      <c r="P9" s="308"/>
      <c r="Q9" s="308"/>
      <c r="R9" s="308"/>
      <c r="S9" s="308"/>
      <c r="T9" s="308"/>
      <c r="U9" s="308"/>
      <c r="V9" s="308"/>
      <c r="W9" s="308"/>
      <c r="X9" s="308"/>
      <c r="Y9" s="308"/>
      <c r="Z9" s="308"/>
      <c r="AA9" s="308"/>
      <c r="AB9" s="308"/>
      <c r="AC9" s="308"/>
      <c r="AD9" s="308"/>
      <c r="AE9" s="308"/>
      <c r="AF9" s="308"/>
      <c r="AG9" s="308"/>
      <c r="AH9" s="4"/>
      <c r="AI9" s="4"/>
      <c r="AJ9" s="4"/>
      <c r="AK9" s="4"/>
      <c r="AL9" s="4"/>
      <c r="AM9" s="4"/>
      <c r="AN9" s="4"/>
      <c r="AO9" s="4"/>
    </row>
    <row r="10" spans="1:41" ht="18" customHeight="1">
      <c r="A10" s="4"/>
      <c r="B10" s="308"/>
      <c r="C10" s="408" t="s">
        <v>934</v>
      </c>
      <c r="D10" s="308"/>
      <c r="E10" s="308"/>
      <c r="F10" s="308"/>
      <c r="G10" s="308"/>
      <c r="H10" s="308"/>
      <c r="I10" s="308"/>
      <c r="J10" s="308"/>
      <c r="K10" s="308"/>
      <c r="L10" s="308"/>
      <c r="M10" s="308"/>
      <c r="N10" s="308"/>
      <c r="O10" s="308"/>
      <c r="P10" s="308"/>
      <c r="Q10" s="308"/>
      <c r="R10" s="308"/>
      <c r="S10" s="308"/>
      <c r="T10" s="308"/>
      <c r="U10" s="308"/>
      <c r="V10" s="308"/>
      <c r="W10" s="308"/>
      <c r="X10" s="308"/>
      <c r="Y10" s="308"/>
      <c r="Z10" s="308"/>
      <c r="AA10" s="308"/>
      <c r="AB10" s="308"/>
      <c r="AC10" s="308"/>
      <c r="AD10" s="308"/>
      <c r="AE10" s="308"/>
      <c r="AF10" s="308"/>
      <c r="AG10" s="308"/>
      <c r="AH10" s="4"/>
      <c r="AI10" s="4"/>
      <c r="AJ10" s="4"/>
      <c r="AK10" s="4"/>
      <c r="AL10" s="4"/>
      <c r="AM10" s="4"/>
      <c r="AN10" s="4"/>
      <c r="AO10" s="4"/>
    </row>
    <row r="11" spans="1:41" ht="18" customHeight="1">
      <c r="A11" s="4"/>
      <c r="B11" s="308"/>
      <c r="C11" s="414" t="s">
        <v>946</v>
      </c>
      <c r="D11" s="414"/>
      <c r="E11" s="414"/>
      <c r="F11" s="414"/>
      <c r="G11" s="414"/>
      <c r="H11" s="414"/>
      <c r="I11" s="414"/>
      <c r="J11" s="414"/>
      <c r="K11" s="414"/>
      <c r="L11" s="414"/>
      <c r="M11" s="414"/>
      <c r="N11" s="414"/>
      <c r="O11" s="414"/>
      <c r="P11" s="414"/>
      <c r="Q11" s="414"/>
      <c r="R11" s="414"/>
      <c r="S11" s="414"/>
      <c r="T11" s="414"/>
      <c r="U11" s="414"/>
      <c r="V11" s="414"/>
      <c r="W11" s="414"/>
      <c r="X11" s="414"/>
      <c r="Y11" s="414"/>
      <c r="Z11" s="414"/>
      <c r="AA11" s="413"/>
      <c r="AB11" s="413"/>
      <c r="AC11" s="308"/>
      <c r="AD11" s="308"/>
      <c r="AE11" s="605"/>
      <c r="AF11" s="605"/>
      <c r="AG11" s="308"/>
      <c r="AH11" s="308"/>
      <c r="AI11" s="4"/>
      <c r="AJ11" s="4"/>
      <c r="AK11" s="4"/>
      <c r="AL11" s="4"/>
      <c r="AM11" s="4"/>
      <c r="AN11" s="4"/>
      <c r="AO11" s="4"/>
    </row>
    <row r="12" spans="1:41" ht="18" customHeight="1">
      <c r="A12" s="4"/>
      <c r="B12" s="308"/>
      <c r="C12" s="308" t="s">
        <v>947</v>
      </c>
      <c r="D12" s="308"/>
      <c r="E12" s="308"/>
      <c r="F12" s="308"/>
      <c r="G12" s="308"/>
      <c r="H12" s="308"/>
      <c r="I12" s="308"/>
      <c r="J12" s="308"/>
      <c r="K12" s="308"/>
      <c r="L12" s="308"/>
      <c r="M12" s="308"/>
      <c r="N12" s="308"/>
      <c r="O12" s="308"/>
      <c r="P12" s="308"/>
      <c r="Q12" s="308"/>
      <c r="R12" s="308"/>
      <c r="S12" s="308"/>
      <c r="T12" s="308"/>
      <c r="U12" s="308"/>
      <c r="V12" s="308"/>
      <c r="W12" s="308"/>
      <c r="X12" s="308"/>
      <c r="Y12" s="308"/>
      <c r="Z12" s="308"/>
      <c r="AA12" s="308"/>
      <c r="AB12" s="308"/>
      <c r="AC12" s="308"/>
      <c r="AD12" s="308"/>
      <c r="AE12" s="412"/>
      <c r="AF12" s="412"/>
      <c r="AG12" s="308"/>
      <c r="AH12" s="308"/>
      <c r="AI12" s="4"/>
      <c r="AJ12" s="4"/>
      <c r="AK12" s="4"/>
      <c r="AL12" s="4"/>
      <c r="AM12" s="4"/>
      <c r="AN12" s="4"/>
      <c r="AO12" s="4"/>
    </row>
    <row r="13" spans="1:41" ht="18" customHeight="1">
      <c r="A13" s="4"/>
      <c r="B13" s="308"/>
      <c r="C13" s="308" t="s">
        <v>948</v>
      </c>
      <c r="D13" s="308"/>
      <c r="E13" s="308"/>
      <c r="F13" s="308"/>
      <c r="G13" s="308"/>
      <c r="H13" s="308"/>
      <c r="I13" s="308"/>
      <c r="J13" s="308"/>
      <c r="K13" s="308"/>
      <c r="L13" s="308"/>
      <c r="M13" s="308"/>
      <c r="N13" s="308"/>
      <c r="O13" s="308"/>
      <c r="P13" s="308"/>
      <c r="Q13" s="308"/>
      <c r="R13" s="308"/>
      <c r="S13" s="308"/>
      <c r="T13" s="308"/>
      <c r="U13" s="308"/>
      <c r="V13" s="308"/>
      <c r="W13" s="308"/>
      <c r="X13" s="308"/>
      <c r="Y13" s="308"/>
      <c r="Z13" s="308"/>
      <c r="AA13" s="308"/>
      <c r="AB13" s="308"/>
      <c r="AC13" s="308"/>
      <c r="AD13" s="308"/>
      <c r="AE13" s="308"/>
      <c r="AF13" s="308"/>
      <c r="AG13" s="308"/>
      <c r="AH13" s="4"/>
      <c r="AI13" s="4"/>
      <c r="AJ13" s="4"/>
      <c r="AK13" s="4"/>
      <c r="AL13" s="4"/>
      <c r="AM13" s="4"/>
      <c r="AN13" s="4"/>
      <c r="AO13" s="4"/>
    </row>
    <row r="14" spans="1:41" ht="18" customHeight="1">
      <c r="A14" s="4"/>
      <c r="B14" s="308"/>
      <c r="C14" s="308" t="s">
        <v>949</v>
      </c>
      <c r="D14" s="308"/>
      <c r="E14" s="308"/>
      <c r="F14" s="308"/>
      <c r="G14" s="308"/>
      <c r="H14" s="308"/>
      <c r="I14" s="308"/>
      <c r="J14" s="308"/>
      <c r="K14" s="308"/>
      <c r="L14" s="308"/>
      <c r="M14" s="308"/>
      <c r="N14" s="308"/>
      <c r="O14" s="308"/>
      <c r="P14" s="308"/>
      <c r="Q14" s="308"/>
      <c r="R14" s="308"/>
      <c r="S14" s="308"/>
      <c r="T14" s="308"/>
      <c r="U14" s="308"/>
      <c r="V14" s="308"/>
      <c r="W14" s="308"/>
      <c r="X14" s="308"/>
      <c r="Y14" s="308"/>
      <c r="Z14" s="308"/>
      <c r="AA14" s="308"/>
      <c r="AB14" s="308"/>
      <c r="AC14" s="308"/>
      <c r="AD14" s="308"/>
      <c r="AE14" s="308"/>
      <c r="AF14" s="308"/>
      <c r="AG14" s="308"/>
      <c r="AH14" s="4"/>
      <c r="AI14" s="4"/>
      <c r="AJ14" s="4"/>
      <c r="AK14" s="4"/>
      <c r="AL14" s="4"/>
      <c r="AM14" s="4"/>
      <c r="AN14" s="4"/>
      <c r="AO14" s="4"/>
    </row>
    <row r="15" spans="1:41" ht="18" customHeight="1">
      <c r="A15" s="4"/>
      <c r="B15" s="308"/>
      <c r="C15" s="308" t="s">
        <v>950</v>
      </c>
      <c r="D15" s="308"/>
      <c r="E15" s="308"/>
      <c r="F15" s="308"/>
      <c r="G15" s="308"/>
      <c r="H15" s="308"/>
      <c r="I15" s="308"/>
      <c r="J15" s="308"/>
      <c r="K15" s="308"/>
      <c r="L15" s="308"/>
      <c r="M15" s="308"/>
      <c r="N15" s="308"/>
      <c r="O15" s="308"/>
      <c r="P15" s="308"/>
      <c r="Q15" s="308"/>
      <c r="R15" s="308"/>
      <c r="S15" s="308"/>
      <c r="T15" s="308"/>
      <c r="U15" s="308"/>
      <c r="V15" s="308"/>
      <c r="W15" s="308"/>
      <c r="X15" s="308"/>
      <c r="Y15" s="308"/>
      <c r="Z15" s="308"/>
      <c r="AA15" s="308"/>
      <c r="AB15" s="308"/>
      <c r="AC15" s="308"/>
      <c r="AD15" s="308"/>
      <c r="AE15" s="308"/>
      <c r="AF15" s="308"/>
      <c r="AG15" s="308"/>
      <c r="AH15" s="4"/>
      <c r="AI15" s="4"/>
      <c r="AJ15" s="4"/>
      <c r="AK15" s="4"/>
      <c r="AL15" s="4"/>
      <c r="AM15" s="4"/>
      <c r="AN15" s="4"/>
      <c r="AO15" s="4"/>
    </row>
    <row r="16" spans="1:41" ht="18" customHeight="1">
      <c r="A16" s="4"/>
      <c r="B16" s="308"/>
      <c r="C16" s="308" t="s">
        <v>943</v>
      </c>
      <c r="D16" s="308"/>
      <c r="E16" s="308"/>
      <c r="F16" s="308"/>
      <c r="G16" s="308"/>
      <c r="H16" s="308"/>
      <c r="I16" s="308"/>
      <c r="J16" s="308"/>
      <c r="K16" s="308"/>
      <c r="L16" s="308"/>
      <c r="M16" s="308"/>
      <c r="N16" s="308"/>
      <c r="O16" s="308"/>
      <c r="P16" s="308"/>
      <c r="Q16" s="308"/>
      <c r="R16" s="308"/>
      <c r="S16" s="308"/>
      <c r="T16" s="308"/>
      <c r="U16" s="308"/>
      <c r="V16" s="308"/>
      <c r="W16" s="308"/>
      <c r="X16" s="308"/>
      <c r="Y16" s="308"/>
      <c r="Z16" s="308"/>
      <c r="AA16" s="308"/>
      <c r="AB16" s="308"/>
      <c r="AC16" s="308"/>
      <c r="AD16" s="308"/>
      <c r="AE16" s="308"/>
      <c r="AF16" s="308"/>
      <c r="AG16" s="308"/>
      <c r="AH16" s="409"/>
      <c r="AI16" s="409"/>
      <c r="AJ16" s="604" t="s">
        <v>534</v>
      </c>
      <c r="AK16" s="604"/>
      <c r="AL16" s="312"/>
      <c r="AM16" s="4"/>
      <c r="AN16" s="4"/>
      <c r="AO16" s="4"/>
    </row>
    <row r="17" spans="1:41" ht="18" customHeight="1">
      <c r="A17" s="4"/>
      <c r="B17" s="308"/>
      <c r="C17" s="308"/>
      <c r="D17" s="308"/>
      <c r="E17" s="308"/>
      <c r="F17" s="308"/>
      <c r="G17" s="308"/>
      <c r="H17" s="308"/>
      <c r="I17" s="308"/>
      <c r="J17" s="308"/>
      <c r="K17" s="308"/>
      <c r="L17" s="308"/>
      <c r="M17" s="308"/>
      <c r="N17" s="308"/>
      <c r="O17" s="308" t="s">
        <v>533</v>
      </c>
      <c r="P17" s="308"/>
      <c r="Q17" s="308"/>
      <c r="R17" s="308"/>
      <c r="S17" s="308"/>
      <c r="T17" s="308"/>
      <c r="U17" s="308"/>
      <c r="V17" s="308"/>
      <c r="W17" s="308"/>
      <c r="X17" s="308"/>
      <c r="Y17" s="308"/>
      <c r="Z17" s="308"/>
      <c r="AA17" s="308"/>
      <c r="AB17" s="308"/>
      <c r="AC17" s="308"/>
      <c r="AD17" s="308"/>
      <c r="AE17" s="308"/>
      <c r="AF17" s="308"/>
      <c r="AG17" s="308"/>
      <c r="AH17" s="4"/>
      <c r="AI17" s="4"/>
      <c r="AJ17" s="4"/>
      <c r="AK17" s="4"/>
      <c r="AL17" s="4"/>
      <c r="AM17" s="4"/>
      <c r="AN17" s="4"/>
      <c r="AO17" s="4"/>
    </row>
    <row r="18" spans="1:41" ht="18" customHeight="1">
      <c r="A18" s="4"/>
      <c r="B18" s="308"/>
      <c r="C18" s="308"/>
      <c r="D18" s="308"/>
      <c r="E18" s="308"/>
      <c r="F18" s="308"/>
      <c r="G18" s="308"/>
      <c r="H18" s="308"/>
      <c r="I18" s="308"/>
      <c r="J18" s="308"/>
      <c r="K18" s="308"/>
      <c r="L18" s="308"/>
      <c r="M18" s="308"/>
      <c r="N18" s="308"/>
      <c r="O18" s="308"/>
      <c r="P18" s="308"/>
      <c r="Q18" s="308"/>
      <c r="R18" s="308"/>
      <c r="S18" s="308"/>
      <c r="T18" s="308"/>
      <c r="U18" s="308"/>
      <c r="V18" s="308"/>
      <c r="W18" s="308"/>
      <c r="X18" s="308"/>
      <c r="Y18" s="308"/>
      <c r="Z18" s="308"/>
      <c r="AA18" s="308"/>
      <c r="AB18" s="308"/>
      <c r="AC18" s="308"/>
      <c r="AD18" s="308"/>
      <c r="AE18" s="308"/>
      <c r="AF18" s="308"/>
      <c r="AG18" s="308"/>
      <c r="AH18" s="4"/>
      <c r="AI18" s="4"/>
      <c r="AJ18" s="4"/>
      <c r="AK18" s="4"/>
      <c r="AL18" s="4"/>
      <c r="AM18" s="4"/>
      <c r="AN18" s="4"/>
      <c r="AO18" s="4"/>
    </row>
    <row r="19" spans="1:41" ht="18" customHeight="1">
      <c r="A19" s="4"/>
      <c r="B19" s="308"/>
      <c r="C19" s="308"/>
      <c r="D19" s="308"/>
      <c r="E19" s="308"/>
      <c r="F19" s="308"/>
      <c r="G19" s="308"/>
      <c r="H19" s="308"/>
      <c r="I19" s="308"/>
      <c r="J19" s="308"/>
      <c r="K19" s="308"/>
      <c r="L19" s="308"/>
      <c r="M19" s="308"/>
      <c r="N19" s="308"/>
      <c r="O19" s="308"/>
      <c r="P19" s="308"/>
      <c r="Q19" s="308"/>
      <c r="R19" s="308"/>
      <c r="S19" s="308"/>
      <c r="T19" s="308"/>
      <c r="U19" s="308"/>
      <c r="V19" s="308"/>
      <c r="W19" s="308"/>
      <c r="X19" s="308"/>
      <c r="Y19" s="308"/>
      <c r="Z19" s="308"/>
      <c r="AA19" s="308"/>
      <c r="AB19" s="308"/>
      <c r="AC19" s="308"/>
      <c r="AD19" s="308"/>
      <c r="AE19" s="308"/>
      <c r="AF19" s="308"/>
      <c r="AG19" s="308"/>
      <c r="AH19" s="4"/>
      <c r="AI19" s="4"/>
      <c r="AJ19" s="4"/>
      <c r="AK19" s="4"/>
      <c r="AL19" s="4"/>
      <c r="AM19" s="4"/>
      <c r="AN19" s="4"/>
      <c r="AO19" s="4"/>
    </row>
    <row r="20" spans="1:41" ht="18" customHeight="1">
      <c r="A20" s="4"/>
      <c r="B20" s="308"/>
      <c r="C20" s="308" t="s">
        <v>944</v>
      </c>
      <c r="D20" s="308"/>
      <c r="E20" s="308"/>
      <c r="F20" s="308"/>
      <c r="G20" s="308"/>
      <c r="H20" s="308"/>
      <c r="I20" s="308"/>
      <c r="J20" s="308"/>
      <c r="K20" s="308"/>
      <c r="L20" s="308"/>
      <c r="M20" s="308"/>
      <c r="N20" s="308"/>
      <c r="O20" s="308"/>
      <c r="P20" s="308"/>
      <c r="Q20" s="308"/>
      <c r="R20" s="308"/>
      <c r="S20" s="308"/>
      <c r="T20" s="308"/>
      <c r="U20" s="308"/>
      <c r="V20" s="308"/>
      <c r="W20" s="308"/>
      <c r="X20" s="308"/>
      <c r="Y20" s="308"/>
      <c r="Z20" s="308"/>
      <c r="AA20" s="308"/>
      <c r="AB20" s="308"/>
      <c r="AC20" s="308"/>
      <c r="AD20" s="308"/>
      <c r="AE20" s="308"/>
      <c r="AF20" s="308"/>
      <c r="AG20" s="308"/>
      <c r="AH20" s="4"/>
      <c r="AI20" s="4"/>
      <c r="AJ20" s="4"/>
      <c r="AK20" s="4"/>
      <c r="AL20" s="4"/>
      <c r="AM20" s="4"/>
      <c r="AN20" s="4"/>
      <c r="AO20" s="4"/>
    </row>
    <row r="21" spans="1:41" ht="18" customHeight="1">
      <c r="A21" s="4"/>
      <c r="B21" s="4"/>
      <c r="C21" s="308" t="s">
        <v>951</v>
      </c>
      <c r="D21" s="308"/>
      <c r="E21" s="308"/>
      <c r="F21" s="308"/>
      <c r="G21" s="308"/>
      <c r="H21" s="308"/>
      <c r="I21" s="308"/>
      <c r="J21" s="308"/>
      <c r="K21" s="308"/>
      <c r="L21" s="308"/>
      <c r="M21" s="308"/>
      <c r="N21" s="308"/>
      <c r="O21" s="308"/>
      <c r="P21" s="308"/>
      <c r="Q21" s="308"/>
      <c r="R21" s="308"/>
      <c r="S21" s="308"/>
      <c r="T21" s="308"/>
      <c r="U21" s="308"/>
      <c r="V21" s="308"/>
      <c r="W21" s="308"/>
      <c r="X21" s="308"/>
      <c r="Y21" s="308"/>
      <c r="Z21" s="308"/>
      <c r="AA21" s="308"/>
      <c r="AB21" s="308"/>
      <c r="AC21" s="308"/>
      <c r="AD21" s="308"/>
      <c r="AE21" s="308"/>
      <c r="AF21" s="308"/>
      <c r="AG21" s="308"/>
      <c r="AH21" s="4"/>
      <c r="AI21" s="4"/>
      <c r="AJ21" s="4"/>
      <c r="AK21" s="4"/>
      <c r="AL21" s="4"/>
      <c r="AM21" s="4"/>
      <c r="AN21" s="4"/>
      <c r="AO21" s="4"/>
    </row>
    <row r="22" spans="1:41" ht="18" customHeight="1">
      <c r="A22" s="4"/>
      <c r="B22" s="4"/>
      <c r="C22" s="308" t="s">
        <v>952</v>
      </c>
      <c r="D22" s="308"/>
      <c r="E22" s="308"/>
      <c r="F22" s="308"/>
      <c r="G22" s="308"/>
      <c r="H22" s="308"/>
      <c r="I22" s="308"/>
      <c r="J22" s="308"/>
      <c r="K22" s="308"/>
      <c r="L22" s="308"/>
      <c r="M22" s="308"/>
      <c r="N22" s="308"/>
      <c r="O22" s="308"/>
      <c r="P22" s="308"/>
      <c r="Q22" s="308"/>
      <c r="R22" s="308"/>
      <c r="S22" s="308"/>
      <c r="T22" s="308"/>
      <c r="U22" s="308"/>
      <c r="V22" s="308"/>
      <c r="W22" s="308"/>
      <c r="X22" s="308"/>
      <c r="Y22" s="308"/>
      <c r="Z22" s="308"/>
      <c r="AA22" s="308"/>
      <c r="AB22" s="308"/>
      <c r="AC22" s="308"/>
      <c r="AD22" s="308"/>
      <c r="AE22" s="308"/>
      <c r="AF22" s="308"/>
      <c r="AG22" s="308"/>
      <c r="AH22" s="4"/>
      <c r="AI22" s="4"/>
      <c r="AJ22" s="4"/>
      <c r="AK22" s="4"/>
      <c r="AL22" s="4"/>
      <c r="AM22" s="4"/>
      <c r="AN22" s="4"/>
      <c r="AO22" s="4"/>
    </row>
    <row r="23" spans="1:41" ht="18" customHeight="1">
      <c r="A23" s="4"/>
      <c r="C23" s="308" t="s">
        <v>953</v>
      </c>
      <c r="D23" s="308"/>
      <c r="E23" s="308"/>
      <c r="F23" s="308"/>
      <c r="G23" s="308"/>
      <c r="H23" s="308"/>
      <c r="I23" s="308"/>
      <c r="J23" s="308"/>
      <c r="K23" s="308"/>
      <c r="L23" s="308"/>
      <c r="M23" s="308"/>
      <c r="N23" s="308"/>
      <c r="O23" s="308"/>
      <c r="P23" s="308"/>
      <c r="Q23" s="308"/>
      <c r="R23" s="308"/>
      <c r="S23" s="308"/>
      <c r="T23" s="308"/>
      <c r="U23" s="308"/>
      <c r="V23" s="308"/>
      <c r="W23" s="308"/>
      <c r="X23" s="308"/>
      <c r="Y23" s="308"/>
      <c r="Z23" s="308"/>
      <c r="AA23" s="308"/>
      <c r="AB23" s="308"/>
      <c r="AC23" s="308"/>
      <c r="AD23" s="308"/>
      <c r="AE23" s="308"/>
      <c r="AF23" s="308"/>
      <c r="AG23" s="308"/>
      <c r="AH23" s="4"/>
      <c r="AI23" s="4"/>
      <c r="AJ23" s="4"/>
      <c r="AK23" s="4"/>
      <c r="AL23" s="4"/>
      <c r="AM23" s="4"/>
      <c r="AN23" s="4"/>
      <c r="AO23" s="4"/>
    </row>
    <row r="24" spans="1:41" ht="18" customHeight="1">
      <c r="A24" s="4"/>
      <c r="B24" s="308"/>
      <c r="C24" s="4"/>
      <c r="D24" s="309" t="s">
        <v>937</v>
      </c>
      <c r="E24" s="308"/>
      <c r="F24" s="308"/>
      <c r="G24" s="308"/>
      <c r="H24" s="308"/>
      <c r="I24" s="308"/>
      <c r="J24" s="308"/>
      <c r="K24" s="308"/>
      <c r="L24" s="308"/>
      <c r="M24" s="308"/>
      <c r="N24" s="308"/>
      <c r="O24" s="308"/>
      <c r="P24" s="308"/>
      <c r="Q24" s="308"/>
      <c r="R24" s="308"/>
      <c r="S24" s="308"/>
      <c r="T24" s="308"/>
      <c r="U24" s="308"/>
      <c r="V24" s="308"/>
      <c r="W24" s="308"/>
      <c r="X24" s="308"/>
      <c r="Y24" s="308"/>
      <c r="Z24" s="308"/>
      <c r="AA24" s="308"/>
      <c r="AB24" s="308"/>
      <c r="AC24" s="308"/>
      <c r="AD24" s="308"/>
      <c r="AE24" s="308"/>
      <c r="AF24" s="308"/>
      <c r="AG24" s="308"/>
      <c r="AH24" s="4"/>
      <c r="AI24" s="4"/>
      <c r="AJ24" s="4"/>
      <c r="AK24" s="4"/>
      <c r="AL24" s="4"/>
      <c r="AM24" s="4"/>
      <c r="AN24" s="4"/>
      <c r="AO24" s="4"/>
    </row>
    <row r="25" spans="1:41" ht="18" customHeight="1">
      <c r="A25" s="4"/>
      <c r="B25" s="308"/>
      <c r="C25" s="4"/>
      <c r="D25" s="310" t="s">
        <v>638</v>
      </c>
      <c r="E25" s="308"/>
      <c r="F25" s="308"/>
      <c r="G25" s="308"/>
      <c r="H25" s="308"/>
      <c r="I25" s="308"/>
      <c r="J25" s="308"/>
      <c r="K25" s="308"/>
      <c r="L25" s="308"/>
      <c r="M25" s="308"/>
      <c r="N25" s="308"/>
      <c r="O25" s="308"/>
      <c r="P25" s="308"/>
      <c r="Q25" s="308"/>
      <c r="R25" s="308"/>
      <c r="S25" s="308"/>
      <c r="T25" s="308"/>
      <c r="U25" s="308"/>
      <c r="V25" s="308"/>
      <c r="W25" s="308"/>
      <c r="X25" s="308"/>
      <c r="Y25" s="308"/>
      <c r="Z25" s="308"/>
      <c r="AA25" s="308"/>
      <c r="AB25" s="308"/>
      <c r="AC25" s="308"/>
      <c r="AD25" s="308"/>
      <c r="AE25" s="308"/>
      <c r="AF25" s="308"/>
      <c r="AG25" s="308"/>
      <c r="AH25" s="4"/>
      <c r="AI25" s="4"/>
      <c r="AJ25" s="4"/>
      <c r="AK25" s="4"/>
      <c r="AL25" s="4"/>
      <c r="AM25" s="4"/>
      <c r="AN25" s="4"/>
      <c r="AO25" s="4"/>
    </row>
    <row r="26" spans="1:41" ht="18" customHeight="1">
      <c r="A26" s="4"/>
      <c r="B26" s="308"/>
      <c r="C26" s="4"/>
      <c r="D26" s="311" t="s">
        <v>639</v>
      </c>
      <c r="E26" s="308"/>
      <c r="F26" s="308"/>
      <c r="G26" s="308"/>
      <c r="H26" s="308"/>
      <c r="I26" s="308"/>
      <c r="J26" s="308"/>
      <c r="K26" s="308"/>
      <c r="L26" s="308"/>
      <c r="M26" s="308"/>
      <c r="N26" s="308"/>
      <c r="O26" s="308"/>
      <c r="P26" s="308"/>
      <c r="Q26" s="308"/>
      <c r="R26" s="308"/>
      <c r="S26" s="308"/>
      <c r="T26" s="308"/>
      <c r="U26" s="308"/>
      <c r="V26" s="308"/>
      <c r="W26" s="308"/>
      <c r="X26" s="308"/>
      <c r="Y26" s="308"/>
      <c r="Z26" s="308"/>
      <c r="AA26" s="308"/>
      <c r="AB26" s="308"/>
      <c r="AC26" s="308"/>
      <c r="AD26" s="308"/>
      <c r="AE26" s="308"/>
      <c r="AF26" s="308"/>
      <c r="AG26" s="308"/>
      <c r="AH26" s="4"/>
      <c r="AI26" s="4"/>
      <c r="AJ26" s="4"/>
      <c r="AK26" s="4"/>
      <c r="AL26" s="4"/>
      <c r="AM26" s="4"/>
      <c r="AN26" s="4"/>
      <c r="AO26" s="4"/>
    </row>
    <row r="27" spans="1:41" ht="18" customHeight="1">
      <c r="A27" s="4"/>
      <c r="B27" s="308" t="s">
        <v>954</v>
      </c>
      <c r="C27" s="308"/>
      <c r="D27" s="308"/>
      <c r="E27" s="308"/>
      <c r="F27" s="308"/>
      <c r="G27" s="308"/>
      <c r="H27" s="308"/>
      <c r="I27" s="308"/>
      <c r="J27" s="308"/>
      <c r="K27" s="308"/>
      <c r="L27" s="308"/>
      <c r="M27" s="308"/>
      <c r="N27" s="308"/>
      <c r="O27" s="308"/>
      <c r="P27" s="308"/>
      <c r="Q27" s="308"/>
      <c r="R27" s="308"/>
      <c r="S27" s="308"/>
      <c r="T27" s="308"/>
      <c r="U27" s="308"/>
      <c r="V27" s="308"/>
      <c r="W27" s="308"/>
      <c r="X27" s="308"/>
      <c r="Y27" s="308"/>
      <c r="Z27" s="308"/>
      <c r="AA27" s="308"/>
      <c r="AB27" s="308"/>
      <c r="AC27" s="308"/>
      <c r="AD27" s="308"/>
      <c r="AE27" s="308"/>
      <c r="AF27" s="308"/>
      <c r="AG27" s="308"/>
      <c r="AH27" s="4"/>
      <c r="AI27" s="4"/>
      <c r="AJ27" s="4"/>
      <c r="AK27" s="4"/>
      <c r="AL27" s="4"/>
      <c r="AM27" s="4"/>
      <c r="AN27" s="4"/>
      <c r="AO27" s="4"/>
    </row>
    <row r="28" spans="1:41" ht="18" customHeight="1">
      <c r="A28" s="4"/>
      <c r="B28" s="308" t="s">
        <v>955</v>
      </c>
      <c r="C28" s="308"/>
      <c r="D28" s="308"/>
      <c r="E28" s="308"/>
      <c r="F28" s="308"/>
      <c r="G28" s="308"/>
      <c r="H28" s="308"/>
      <c r="I28" s="308"/>
      <c r="J28" s="308"/>
      <c r="K28" s="308"/>
      <c r="L28" s="308"/>
      <c r="M28" s="308"/>
      <c r="N28" s="308"/>
      <c r="O28" s="308"/>
      <c r="P28" s="308"/>
      <c r="Q28" s="308"/>
      <c r="R28" s="308"/>
      <c r="S28" s="308"/>
      <c r="T28" s="308"/>
      <c r="U28" s="308"/>
      <c r="V28" s="308"/>
      <c r="W28" s="308"/>
      <c r="X28" s="308"/>
      <c r="Y28" s="308"/>
      <c r="Z28" s="308"/>
      <c r="AA28" s="308"/>
      <c r="AB28" s="308"/>
      <c r="AC28" s="308"/>
      <c r="AD28" s="308"/>
      <c r="AE28" s="308"/>
      <c r="AF28" s="308"/>
      <c r="AG28" s="308"/>
      <c r="AH28" s="4"/>
      <c r="AI28" s="4"/>
      <c r="AJ28" s="4"/>
      <c r="AK28" s="4"/>
      <c r="AL28" s="4"/>
      <c r="AM28" s="4"/>
      <c r="AN28" s="4"/>
      <c r="AO28" s="4"/>
    </row>
    <row r="29" spans="1:41" ht="18" customHeight="1">
      <c r="A29" s="4"/>
      <c r="B29" s="308" t="s">
        <v>958</v>
      </c>
      <c r="C29" s="308"/>
      <c r="D29" s="308"/>
      <c r="E29" s="308"/>
      <c r="F29" s="308"/>
      <c r="G29" s="308"/>
      <c r="H29" s="308"/>
      <c r="I29" s="308"/>
      <c r="J29" s="308"/>
      <c r="K29" s="308"/>
      <c r="L29" s="308"/>
      <c r="M29" s="308"/>
      <c r="N29" s="308"/>
      <c r="O29" s="308"/>
      <c r="P29" s="308"/>
      <c r="Q29" s="308"/>
      <c r="R29" s="308"/>
      <c r="S29" s="308"/>
      <c r="T29" s="308"/>
      <c r="U29" s="308"/>
      <c r="V29" s="308"/>
      <c r="W29" s="308"/>
      <c r="X29" s="308"/>
      <c r="Y29" s="308"/>
      <c r="Z29" s="308"/>
      <c r="AA29" s="308"/>
      <c r="AB29" s="308"/>
      <c r="AC29" s="308"/>
      <c r="AD29" s="308"/>
      <c r="AE29" s="308"/>
      <c r="AF29" s="308"/>
      <c r="AG29" s="308"/>
      <c r="AH29" s="4"/>
      <c r="AI29" s="4"/>
      <c r="AJ29" s="4"/>
      <c r="AK29" s="4"/>
      <c r="AL29" s="4"/>
      <c r="AM29" s="4"/>
      <c r="AN29" s="4"/>
      <c r="AO29" s="4"/>
    </row>
    <row r="30" spans="1:41" ht="18" customHeight="1">
      <c r="A30" s="4"/>
      <c r="B30" s="308" t="s">
        <v>957</v>
      </c>
      <c r="C30" s="308"/>
      <c r="D30" s="308"/>
      <c r="E30" s="308"/>
      <c r="F30" s="308"/>
      <c r="G30" s="308"/>
      <c r="H30" s="308"/>
      <c r="I30" s="308"/>
      <c r="J30" s="308"/>
      <c r="K30" s="308"/>
      <c r="L30" s="308"/>
      <c r="M30" s="308"/>
      <c r="N30" s="308"/>
      <c r="O30" s="308"/>
      <c r="P30" s="308"/>
      <c r="Q30" s="308"/>
      <c r="R30" s="308"/>
      <c r="S30" s="308"/>
      <c r="T30" s="308"/>
      <c r="U30" s="308"/>
      <c r="V30" s="308"/>
      <c r="W30" s="308"/>
      <c r="X30" s="308"/>
      <c r="Y30" s="308"/>
      <c r="Z30" s="308"/>
      <c r="AA30" s="308"/>
      <c r="AB30" s="308"/>
      <c r="AC30" s="308"/>
      <c r="AD30" s="308"/>
      <c r="AE30" s="308"/>
      <c r="AF30" s="308"/>
      <c r="AG30" s="308"/>
      <c r="AH30" s="4"/>
      <c r="AI30" s="4"/>
      <c r="AJ30" s="4"/>
      <c r="AK30" s="4"/>
      <c r="AL30" s="4"/>
      <c r="AM30" s="4"/>
      <c r="AN30" s="4"/>
      <c r="AO30" s="4"/>
    </row>
    <row r="31" spans="1:41" ht="12" customHeight="1">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row>
    <row r="32" spans="1:41" ht="18" customHeight="1">
      <c r="A32" s="4"/>
      <c r="B32" s="307" t="s">
        <v>550</v>
      </c>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row>
    <row r="33" spans="1:41" ht="18" customHeight="1">
      <c r="A33" s="4"/>
      <c r="B33" s="308" t="s">
        <v>558</v>
      </c>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row>
    <row r="34" spans="1:41" ht="18" customHeight="1">
      <c r="A34" s="4"/>
      <c r="B34" s="308" t="s">
        <v>552</v>
      </c>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row>
    <row r="35" spans="1:41" ht="18" customHeight="1">
      <c r="A35" s="4"/>
      <c r="B35" s="308" t="s">
        <v>553</v>
      </c>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row>
    <row r="36" spans="1:41" ht="18" customHeight="1">
      <c r="A36" s="4"/>
      <c r="B36" s="308" t="s">
        <v>551</v>
      </c>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row>
    <row r="37" spans="1:41" ht="18" customHeight="1">
      <c r="A37" s="4"/>
      <c r="B37" s="308" t="s">
        <v>554</v>
      </c>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row>
    <row r="38" spans="1:41" ht="18" customHeight="1">
      <c r="A38" s="4"/>
      <c r="B38" s="308" t="s">
        <v>641</v>
      </c>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row>
    <row r="39" spans="1:41" ht="18" customHeight="1">
      <c r="A39" s="4"/>
      <c r="B39" s="308" t="s">
        <v>555</v>
      </c>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row>
    <row r="40" spans="1:41" ht="12" customHeight="1">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row>
    <row r="41" spans="1:41" ht="18" customHeight="1">
      <c r="A41" s="4"/>
      <c r="B41" s="307" t="s">
        <v>556</v>
      </c>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row>
    <row r="42" spans="1:41" ht="18" customHeight="1">
      <c r="A42" s="4"/>
      <c r="B42" s="308" t="s">
        <v>552</v>
      </c>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row>
    <row r="43" spans="1:41" ht="18" customHeight="1">
      <c r="A43" s="4"/>
      <c r="B43" s="308" t="s">
        <v>555</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row>
    <row r="44" spans="1:41" ht="18" customHeight="1">
      <c r="A44" s="4"/>
      <c r="B44" s="308" t="s">
        <v>642</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row>
    <row r="45" spans="1:41" ht="18" customHeight="1">
      <c r="A45" s="4"/>
      <c r="B45" s="308" t="s">
        <v>643</v>
      </c>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row>
    <row r="46" spans="1:41" ht="18" customHeight="1">
      <c r="A46" s="4"/>
      <c r="B46" s="308" t="s">
        <v>644</v>
      </c>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row>
    <row r="47" spans="1:41" ht="18" customHeight="1">
      <c r="A47" s="4"/>
      <c r="B47" s="308" t="s">
        <v>645</v>
      </c>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row>
    <row r="48" spans="1:41" ht="18" customHeight="1">
      <c r="A48" s="4"/>
      <c r="B48" s="308" t="s">
        <v>641</v>
      </c>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row>
    <row r="49" spans="1:41" ht="12" customHeight="1">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row>
    <row r="50" spans="1:41" ht="18" customHeight="1">
      <c r="A50" s="4"/>
      <c r="B50" s="307" t="s">
        <v>531</v>
      </c>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row>
    <row r="51" spans="1:41" ht="18" customHeight="1">
      <c r="A51" s="4"/>
      <c r="B51" s="606" t="s">
        <v>532</v>
      </c>
      <c r="C51" s="606"/>
      <c r="D51" s="606"/>
      <c r="E51" s="606"/>
      <c r="F51" s="606"/>
      <c r="G51" s="606"/>
      <c r="H51" s="606"/>
      <c r="I51" s="606"/>
      <c r="J51" s="606"/>
      <c r="K51" s="606"/>
      <c r="L51" s="606"/>
      <c r="M51" s="606"/>
      <c r="N51" s="606"/>
      <c r="O51" s="606"/>
      <c r="P51" s="606"/>
      <c r="Q51" s="606"/>
      <c r="R51" s="606"/>
      <c r="S51" s="606"/>
      <c r="T51" s="4"/>
      <c r="U51" s="4"/>
      <c r="V51" s="4"/>
      <c r="W51" s="4"/>
      <c r="X51" s="4"/>
      <c r="Y51" s="4"/>
      <c r="Z51" s="4"/>
      <c r="AA51" s="4"/>
      <c r="AB51" s="4"/>
      <c r="AC51" s="4"/>
      <c r="AD51" s="4"/>
      <c r="AE51" s="4"/>
      <c r="AF51" s="4"/>
      <c r="AG51" s="4"/>
      <c r="AH51" s="4"/>
      <c r="AI51" s="4"/>
      <c r="AJ51" s="4"/>
      <c r="AK51" s="4"/>
      <c r="AL51" s="4"/>
      <c r="AM51" s="4"/>
      <c r="AN51" s="4"/>
      <c r="AO51" s="4"/>
    </row>
    <row r="52" spans="1:41" ht="18" customHeight="1">
      <c r="A52" s="4"/>
      <c r="B52" s="606" t="s">
        <v>1104</v>
      </c>
      <c r="C52" s="606"/>
      <c r="D52" s="606"/>
      <c r="E52" s="606"/>
      <c r="F52" s="606"/>
      <c r="G52" s="606"/>
      <c r="H52" s="606"/>
      <c r="I52" s="606"/>
      <c r="J52" s="606"/>
      <c r="K52" s="606"/>
      <c r="L52" s="606"/>
      <c r="M52" s="606"/>
      <c r="N52" s="606"/>
      <c r="O52" s="606"/>
      <c r="P52" s="606"/>
      <c r="Q52" s="606"/>
      <c r="R52" s="606"/>
      <c r="S52" s="606"/>
      <c r="T52" s="4"/>
      <c r="U52" s="4"/>
      <c r="V52" s="4"/>
      <c r="W52" s="4"/>
      <c r="X52" s="4"/>
      <c r="Y52" s="4"/>
      <c r="Z52" s="4"/>
      <c r="AA52" s="4"/>
      <c r="AB52" s="4"/>
      <c r="AC52" s="4"/>
      <c r="AD52" s="4"/>
      <c r="AE52" s="4"/>
      <c r="AF52" s="4"/>
      <c r="AG52" s="4"/>
      <c r="AH52" s="4"/>
      <c r="AI52" s="4"/>
      <c r="AJ52" s="4"/>
      <c r="AK52" s="4"/>
      <c r="AL52" s="4"/>
      <c r="AM52" s="4"/>
      <c r="AN52" s="4"/>
      <c r="AO52" s="4"/>
    </row>
    <row r="53" spans="1:41" ht="18" customHeight="1">
      <c r="A53" s="4"/>
      <c r="B53" s="606" t="s">
        <v>1078</v>
      </c>
      <c r="C53" s="606"/>
      <c r="D53" s="606"/>
      <c r="E53" s="606"/>
      <c r="F53" s="606"/>
      <c r="G53" s="606"/>
      <c r="H53" s="606"/>
      <c r="I53" s="606"/>
      <c r="J53" s="606"/>
      <c r="K53" s="606"/>
      <c r="L53" s="606"/>
      <c r="M53" s="606"/>
      <c r="N53" s="606"/>
      <c r="O53" s="606"/>
      <c r="P53" s="606"/>
      <c r="Q53" s="606"/>
      <c r="R53" s="606"/>
      <c r="S53" s="606"/>
      <c r="T53" s="4"/>
      <c r="U53" s="4"/>
      <c r="V53" s="4"/>
      <c r="W53" s="4"/>
      <c r="X53" s="4"/>
      <c r="Y53" s="4"/>
      <c r="Z53" s="4"/>
      <c r="AA53" s="4"/>
      <c r="AB53" s="4"/>
      <c r="AC53" s="4"/>
      <c r="AD53" s="4"/>
      <c r="AE53" s="4"/>
      <c r="AF53" s="4"/>
      <c r="AG53" s="4"/>
      <c r="AH53" s="4"/>
      <c r="AI53" s="4"/>
      <c r="AJ53" s="4"/>
      <c r="AK53" s="4"/>
      <c r="AL53" s="4"/>
      <c r="AM53" s="4"/>
      <c r="AN53" s="4"/>
      <c r="AO53" s="4"/>
    </row>
    <row r="54" spans="1:41" ht="18" customHeight="1">
      <c r="A54" s="4"/>
      <c r="B54" s="606" t="s">
        <v>1079</v>
      </c>
      <c r="C54" s="606"/>
      <c r="D54" s="606"/>
      <c r="E54" s="606"/>
      <c r="F54" s="606"/>
      <c r="G54" s="606"/>
      <c r="H54" s="606"/>
      <c r="I54" s="606"/>
      <c r="J54" s="606"/>
      <c r="K54" s="606"/>
      <c r="L54" s="606"/>
      <c r="M54" s="606"/>
      <c r="N54" s="606"/>
      <c r="O54" s="606"/>
      <c r="P54" s="606"/>
      <c r="Q54" s="606"/>
      <c r="R54" s="606"/>
      <c r="S54" s="606"/>
      <c r="T54" s="4"/>
      <c r="U54" s="4"/>
      <c r="V54" s="4"/>
      <c r="W54" s="4"/>
      <c r="X54" s="4"/>
      <c r="Y54" s="4"/>
      <c r="Z54" s="4"/>
      <c r="AA54" s="4"/>
      <c r="AB54" s="4"/>
      <c r="AC54" s="4"/>
      <c r="AD54" s="4"/>
      <c r="AE54" s="4"/>
      <c r="AF54" s="4"/>
      <c r="AG54" s="4"/>
      <c r="AH54" s="4"/>
      <c r="AI54" s="4"/>
      <c r="AJ54" s="4"/>
      <c r="AK54" s="4"/>
      <c r="AL54" s="4"/>
      <c r="AM54" s="4"/>
      <c r="AN54" s="4"/>
      <c r="AO54" s="4"/>
    </row>
    <row r="55" spans="1:41" ht="18" customHeight="1">
      <c r="A55" s="4"/>
      <c r="B55" s="607" t="s">
        <v>1080</v>
      </c>
      <c r="C55" s="607"/>
      <c r="D55" s="607"/>
      <c r="E55" s="607"/>
      <c r="F55" s="607"/>
      <c r="G55" s="607"/>
      <c r="H55" s="607"/>
      <c r="I55" s="607"/>
      <c r="J55" s="607"/>
      <c r="K55" s="607"/>
      <c r="L55" s="607"/>
      <c r="M55" s="607"/>
      <c r="N55" s="607"/>
      <c r="O55" s="607"/>
      <c r="P55" s="607"/>
      <c r="Q55" s="607"/>
      <c r="R55" s="607"/>
      <c r="S55" s="607"/>
      <c r="T55" s="4"/>
      <c r="U55" s="4"/>
      <c r="V55" s="4"/>
      <c r="W55" s="4"/>
      <c r="X55" s="4"/>
      <c r="Y55" s="4"/>
      <c r="Z55" s="4"/>
      <c r="AA55" s="4"/>
      <c r="AB55" s="4"/>
      <c r="AC55" s="4"/>
      <c r="AD55" s="4"/>
      <c r="AE55" s="4"/>
      <c r="AF55" s="4"/>
      <c r="AG55" s="4"/>
      <c r="AH55" s="4"/>
      <c r="AI55" s="4"/>
      <c r="AJ55" s="4"/>
      <c r="AK55" s="4"/>
      <c r="AL55" s="4"/>
      <c r="AM55" s="4"/>
      <c r="AN55" s="4"/>
      <c r="AO55" s="4"/>
    </row>
    <row r="56" spans="1:41" ht="18" customHeight="1">
      <c r="A56" s="4"/>
      <c r="B56" s="606" t="s">
        <v>557</v>
      </c>
      <c r="C56" s="606"/>
      <c r="D56" s="606"/>
      <c r="E56" s="606"/>
      <c r="F56" s="606"/>
      <c r="G56" s="606"/>
      <c r="H56" s="606"/>
      <c r="I56" s="606"/>
      <c r="J56" s="606"/>
      <c r="K56" s="606"/>
      <c r="L56" s="606"/>
      <c r="M56" s="606"/>
      <c r="N56" s="606"/>
      <c r="O56" s="606"/>
      <c r="P56" s="606"/>
      <c r="Q56" s="606"/>
      <c r="R56" s="606"/>
      <c r="S56" s="606"/>
      <c r="T56" s="4"/>
      <c r="U56" s="4"/>
      <c r="V56" s="4"/>
      <c r="W56" s="4"/>
      <c r="X56" s="4"/>
      <c r="Y56" s="4"/>
      <c r="Z56" s="4"/>
      <c r="AA56" s="4"/>
      <c r="AB56" s="4"/>
      <c r="AC56" s="4"/>
      <c r="AD56" s="4"/>
      <c r="AE56" s="4"/>
      <c r="AF56" s="4"/>
      <c r="AG56" s="4"/>
      <c r="AH56" s="4"/>
      <c r="AI56" s="4"/>
      <c r="AJ56" s="4"/>
      <c r="AK56" s="4"/>
      <c r="AL56" s="4"/>
      <c r="AM56" s="4"/>
      <c r="AN56" s="4"/>
      <c r="AO56" s="4"/>
    </row>
    <row r="57" spans="1:41" ht="12" customHeight="1">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row>
    <row r="58" spans="1:41" ht="18" customHeight="1">
      <c r="A58" s="4"/>
      <c r="B58" s="307" t="s">
        <v>637</v>
      </c>
      <c r="C58" s="4"/>
      <c r="D58" s="4"/>
      <c r="E58" s="4"/>
      <c r="F58" s="4"/>
      <c r="G58" s="4"/>
      <c r="H58" s="4"/>
      <c r="I58" s="4"/>
      <c r="J58" s="4"/>
      <c r="K58" s="4"/>
      <c r="L58" s="4"/>
      <c r="M58" s="604" t="s">
        <v>534</v>
      </c>
      <c r="N58" s="60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row>
    <row r="59" spans="1:41" ht="18" customHeight="1"/>
    <row r="60" spans="1:41" ht="18" customHeight="1"/>
    <row r="61" spans="1:41" ht="18" customHeight="1"/>
    <row r="62" spans="1:41" ht="18" customHeight="1"/>
    <row r="63" spans="1:41" ht="18" customHeight="1"/>
    <row r="64" spans="1:41"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sheetData>
  <sheetProtection algorithmName="SHA-512" hashValue="j+PZ9wVZuwWmzdDmgZ1smt5/StDYyzeDXrUxvIVG0P+f9KQsTA+SISFy8Lql4pgieLeBdMWlwwKGdthqQ58Dqw==" saltValue="7gf2YPleJ+QWPofxrdDBjw==" spinCount="100000" sheet="1" selectLockedCells="1"/>
  <mergeCells count="9">
    <mergeCell ref="AJ16:AK16"/>
    <mergeCell ref="AE11:AF11"/>
    <mergeCell ref="M58:N58"/>
    <mergeCell ref="B52:S52"/>
    <mergeCell ref="B51:S51"/>
    <mergeCell ref="B53:S53"/>
    <mergeCell ref="B54:S54"/>
    <mergeCell ref="B55:S55"/>
    <mergeCell ref="B56:S56"/>
  </mergeCells>
  <hyperlinks>
    <hyperlink ref="B51:Q51" r:id="rId1" display="ENERGY STAR Certified Smart Thermostats" xr:uid="{66EA6930-EEF3-4D4C-96E4-0C8D974D0699}"/>
    <hyperlink ref="B53:Q53" r:id="rId2" display="ENERGY STAR Certified Heat Pump Water Heater" xr:uid="{AB57F6A8-C5C2-4F36-A7F2-4A8EB2178160}"/>
    <hyperlink ref="B52:Q52" r:id="rId3" display="ENERGY STAR Certified Most Efficient Continuous Exhaust Fans" xr:uid="{D6D49813-EC5F-4B97-9C9E-3D26C1AC9B38}"/>
    <hyperlink ref="B56:Q56" r:id="rId4" display="ENERGY STAR Certified Room Air Conditioner" xr:uid="{CDBC75B0-55B0-42B0-9AE6-174F682A09F6}"/>
    <hyperlink ref="M58:N58" r:id="rId5" display="LINK" xr:uid="{A35DCAB7-348C-4838-BF3F-B083BD3A7199}"/>
    <hyperlink ref="AJ16:AK16" r:id="rId6" display="LINK" xr:uid="{25A2CBED-6217-4402-94A9-5953265F7841}"/>
    <hyperlink ref="B54:Q54" r:id="rId7" display="ENERGY STAR Certified Heat Pump Water Heater" xr:uid="{917129F1-E301-41EA-8C88-3B9128B2B6FC}"/>
    <hyperlink ref="B54:R54" r:id="rId8" display="ENERGY STAR Certified Heat Pump Water Heater - 120 Volts" xr:uid="{504ACC2F-E0DC-44A2-8C3D-802102E3DE4E}"/>
    <hyperlink ref="B55:R55" r:id="rId9" display="ENERGY STAR Certified Gas Storage Water Heaters" xr:uid="{8019942D-7A61-4893-ABF6-1DA80F53F906}"/>
    <hyperlink ref="B52:S52" r:id="rId10" display="ENERGY STAR Certified Continuous Exhaust Fans" xr:uid="{28E4479E-1958-478E-A672-D8EF5ED2FB18}"/>
  </hyperlinks>
  <pageMargins left="0.25" right="0.25" top="0.75" bottom="0.75" header="0.3" footer="0.3"/>
  <pageSetup orientation="portrait" horizontalDpi="1200" verticalDpi="1200" r:id="rId11"/>
  <drawing r:id="rId1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DA30E3-F89F-4175-AD1C-CC02FFF97BE1}">
  <dimension ref="A1:N39"/>
  <sheetViews>
    <sheetView zoomScale="115" zoomScaleNormal="115" workbookViewId="0">
      <selection activeCell="B7" sqref="B7"/>
    </sheetView>
  </sheetViews>
  <sheetFormatPr defaultRowHeight="14.4"/>
  <cols>
    <col min="1" max="1" width="28.6640625" customWidth="1"/>
    <col min="2" max="3" width="10.5546875" bestFit="1" customWidth="1"/>
    <col min="5" max="5" width="28.6640625" bestFit="1" customWidth="1"/>
    <col min="6" max="7" width="7.109375" style="12" bestFit="1" customWidth="1"/>
    <col min="9" max="9" width="28.109375" bestFit="1" customWidth="1"/>
    <col min="14" max="14" width="30.6640625" customWidth="1"/>
  </cols>
  <sheetData>
    <row r="1" spans="1:14">
      <c r="A1" s="6" t="s">
        <v>228</v>
      </c>
      <c r="B1" s="6">
        <v>1</v>
      </c>
      <c r="C1" s="6">
        <v>2</v>
      </c>
      <c r="D1" s="6">
        <v>3</v>
      </c>
      <c r="E1" s="10" t="s">
        <v>56</v>
      </c>
      <c r="F1" s="11" t="s">
        <v>57</v>
      </c>
      <c r="G1" s="11" t="s">
        <v>58</v>
      </c>
      <c r="N1" s="231" t="s">
        <v>476</v>
      </c>
    </row>
    <row r="2" spans="1:14">
      <c r="A2" s="6" t="s">
        <v>47</v>
      </c>
      <c r="C2">
        <v>0.9</v>
      </c>
      <c r="D2">
        <v>0.8</v>
      </c>
      <c r="I2" s="13" t="s">
        <v>59</v>
      </c>
      <c r="L2" s="14" t="s">
        <v>60</v>
      </c>
      <c r="N2" s="231" t="s">
        <v>474</v>
      </c>
    </row>
    <row r="3" spans="1:14">
      <c r="A3" t="s">
        <v>37</v>
      </c>
      <c r="B3" s="15">
        <f>'HE-PY24 Pricing'!B6</f>
        <v>0.95</v>
      </c>
      <c r="C3" s="15">
        <v>0.95</v>
      </c>
      <c r="D3" s="15">
        <v>0.7</v>
      </c>
      <c r="E3" s="15">
        <v>0.95</v>
      </c>
      <c r="F3" s="16">
        <v>0.6</v>
      </c>
      <c r="G3" s="16">
        <v>0.4</v>
      </c>
      <c r="I3" t="s">
        <v>383</v>
      </c>
      <c r="L3" t="s">
        <v>61</v>
      </c>
      <c r="N3" s="232" t="s">
        <v>475</v>
      </c>
    </row>
    <row r="4" spans="1:14">
      <c r="A4" t="s">
        <v>62</v>
      </c>
      <c r="B4" s="15">
        <f>'HE-PY24 Pricing'!B7</f>
        <v>1.9</v>
      </c>
      <c r="C4" s="15">
        <f t="shared" ref="C4:C13" si="0">MROUND($C$2*$B4,0.05)</f>
        <v>1.7000000000000002</v>
      </c>
      <c r="D4" s="15">
        <v>1.1000000000000001</v>
      </c>
      <c r="E4" s="15">
        <v>1.9</v>
      </c>
      <c r="F4" s="16">
        <v>0.54</v>
      </c>
      <c r="G4" s="16">
        <v>0.46</v>
      </c>
      <c r="I4" t="s">
        <v>384</v>
      </c>
    </row>
    <row r="5" spans="1:14">
      <c r="A5" t="s">
        <v>63</v>
      </c>
      <c r="B5" s="15">
        <f>'HE-PY24 Pricing'!B8</f>
        <v>1.55</v>
      </c>
      <c r="C5" s="15">
        <f t="shared" si="0"/>
        <v>1.4000000000000001</v>
      </c>
      <c r="D5" s="15">
        <v>1.1000000000000001</v>
      </c>
      <c r="E5" s="15">
        <v>1.55</v>
      </c>
      <c r="F5" s="16">
        <v>0.54</v>
      </c>
      <c r="G5" s="16">
        <v>0.46</v>
      </c>
      <c r="I5" t="s">
        <v>385</v>
      </c>
    </row>
    <row r="6" spans="1:14">
      <c r="A6" t="s">
        <v>1492</v>
      </c>
      <c r="B6" s="15">
        <v>1.2</v>
      </c>
      <c r="C6" s="15">
        <v>1.1000000000000001</v>
      </c>
      <c r="D6" s="15"/>
      <c r="E6" s="15"/>
      <c r="F6" s="16"/>
      <c r="G6" s="16"/>
    </row>
    <row r="7" spans="1:14">
      <c r="A7" t="s">
        <v>38</v>
      </c>
      <c r="B7" s="15">
        <f>'HE-PY24 Pricing'!B10</f>
        <v>5.05</v>
      </c>
      <c r="C7" s="15">
        <f t="shared" si="0"/>
        <v>4.55</v>
      </c>
      <c r="D7" s="15">
        <v>1.1000000000000001</v>
      </c>
      <c r="E7" s="15">
        <v>5.05</v>
      </c>
      <c r="F7" s="16">
        <v>0.55000000000000004</v>
      </c>
      <c r="G7" s="16">
        <f t="shared" ref="G7:G23" si="1">1-F7</f>
        <v>0.44999999999999996</v>
      </c>
      <c r="I7" s="13" t="s">
        <v>64</v>
      </c>
    </row>
    <row r="8" spans="1:14">
      <c r="A8" t="s">
        <v>40</v>
      </c>
      <c r="B8" s="15">
        <f>'HE-PY24 Pricing'!B11</f>
        <v>2.2999999999999998</v>
      </c>
      <c r="C8" s="15">
        <f t="shared" si="0"/>
        <v>2.0500000000000003</v>
      </c>
      <c r="D8" s="15">
        <v>1.1000000000000001</v>
      </c>
      <c r="E8" s="15">
        <v>2.2999999999999998</v>
      </c>
      <c r="F8" s="16">
        <v>0.55000000000000004</v>
      </c>
      <c r="G8" s="16">
        <f t="shared" si="1"/>
        <v>0.44999999999999996</v>
      </c>
      <c r="I8" t="s">
        <v>383</v>
      </c>
    </row>
    <row r="9" spans="1:14">
      <c r="A9" t="s">
        <v>39</v>
      </c>
      <c r="B9" s="15">
        <f>'HE-PY24 Pricing'!B12</f>
        <v>5.05</v>
      </c>
      <c r="C9" s="15">
        <f t="shared" si="0"/>
        <v>4.55</v>
      </c>
      <c r="D9" s="15">
        <v>2</v>
      </c>
      <c r="E9" s="15">
        <v>5.05</v>
      </c>
      <c r="F9" s="16">
        <v>0.74</v>
      </c>
      <c r="G9" s="16">
        <f t="shared" si="1"/>
        <v>0.26</v>
      </c>
      <c r="I9" t="s">
        <v>384</v>
      </c>
    </row>
    <row r="10" spans="1:14">
      <c r="A10" t="s">
        <v>634</v>
      </c>
      <c r="B10" s="15">
        <f>'HE-PY24 Pricing'!B14</f>
        <v>6.95</v>
      </c>
      <c r="C10" s="15">
        <f>MROUND($C$2*$B10,0.05)</f>
        <v>6.25</v>
      </c>
      <c r="D10" s="15">
        <v>3</v>
      </c>
      <c r="E10" s="17">
        <v>6.95</v>
      </c>
      <c r="F10" s="16">
        <v>0.47499999999999998</v>
      </c>
      <c r="G10" s="16">
        <f t="shared" si="1"/>
        <v>0.52500000000000002</v>
      </c>
      <c r="I10" t="s">
        <v>385</v>
      </c>
    </row>
    <row r="11" spans="1:14">
      <c r="A11" t="s">
        <v>65</v>
      </c>
      <c r="B11" s="15">
        <f>'HE-PY24 Pricing'!B15</f>
        <v>8.85</v>
      </c>
      <c r="C11" s="15">
        <f t="shared" si="0"/>
        <v>7.95</v>
      </c>
      <c r="D11" s="15">
        <v>3</v>
      </c>
      <c r="E11" s="17">
        <v>8.85</v>
      </c>
      <c r="F11" s="16">
        <v>0.47499999999999998</v>
      </c>
      <c r="G11" s="16">
        <f t="shared" si="1"/>
        <v>0.52500000000000002</v>
      </c>
    </row>
    <row r="12" spans="1:14">
      <c r="A12" t="s">
        <v>66</v>
      </c>
      <c r="B12" s="15">
        <f>'HE-PY24 Pricing'!B91</f>
        <v>525</v>
      </c>
      <c r="C12" s="15">
        <f>MROUND($C$2*$B12,5)</f>
        <v>475</v>
      </c>
      <c r="D12" s="15">
        <v>25</v>
      </c>
      <c r="E12" s="17">
        <v>525</v>
      </c>
      <c r="F12" s="16">
        <v>1</v>
      </c>
      <c r="G12" s="16">
        <f t="shared" si="1"/>
        <v>0</v>
      </c>
    </row>
    <row r="13" spans="1:14">
      <c r="A13" t="s">
        <v>67</v>
      </c>
      <c r="B13" s="15">
        <f>'HE-PY24 Pricing'!B92</f>
        <v>650</v>
      </c>
      <c r="C13" s="15">
        <f t="shared" si="0"/>
        <v>585</v>
      </c>
      <c r="D13" s="15">
        <v>25</v>
      </c>
      <c r="E13" s="17">
        <v>650</v>
      </c>
      <c r="F13" s="16">
        <v>1</v>
      </c>
      <c r="G13" s="16">
        <f t="shared" si="1"/>
        <v>0</v>
      </c>
      <c r="I13" t="s">
        <v>68</v>
      </c>
      <c r="N13" t="s">
        <v>68</v>
      </c>
    </row>
    <row r="14" spans="1:14" ht="43.2">
      <c r="A14" t="s">
        <v>69</v>
      </c>
      <c r="B14" s="15">
        <f>'HE-PY24 Pricing'!B93</f>
        <v>505</v>
      </c>
      <c r="C14" s="15">
        <f>MROUND($C$2*$B14,5)</f>
        <v>455</v>
      </c>
      <c r="D14" s="15">
        <v>200</v>
      </c>
      <c r="E14" s="15">
        <v>505</v>
      </c>
      <c r="F14" s="16">
        <v>0.56999999999999995</v>
      </c>
      <c r="G14" s="16">
        <f t="shared" si="1"/>
        <v>0.43000000000000005</v>
      </c>
      <c r="I14" s="51" t="s">
        <v>529</v>
      </c>
      <c r="N14" s="51" t="s">
        <v>530</v>
      </c>
    </row>
    <row r="15" spans="1:14" ht="43.2">
      <c r="A15" t="s">
        <v>70</v>
      </c>
      <c r="B15" s="15"/>
      <c r="C15" s="15"/>
      <c r="D15" s="15">
        <v>0</v>
      </c>
      <c r="E15" t="s">
        <v>71</v>
      </c>
      <c r="F15" s="16">
        <v>0</v>
      </c>
      <c r="G15" s="16">
        <f t="shared" si="1"/>
        <v>1</v>
      </c>
      <c r="I15" s="51" t="s">
        <v>530</v>
      </c>
    </row>
    <row r="16" spans="1:14">
      <c r="A16" t="s">
        <v>72</v>
      </c>
      <c r="B16" s="15"/>
      <c r="C16" s="15"/>
      <c r="D16" s="15">
        <v>0</v>
      </c>
      <c r="E16" t="s">
        <v>71</v>
      </c>
      <c r="F16" s="16">
        <v>0</v>
      </c>
      <c r="G16" s="16">
        <f t="shared" si="1"/>
        <v>1</v>
      </c>
    </row>
    <row r="17" spans="1:14">
      <c r="A17" t="s">
        <v>6</v>
      </c>
      <c r="B17" s="15"/>
      <c r="C17" s="15"/>
      <c r="D17" s="15">
        <v>0</v>
      </c>
      <c r="E17" t="s">
        <v>71</v>
      </c>
      <c r="F17" s="16">
        <v>1</v>
      </c>
      <c r="G17" s="16">
        <f t="shared" si="1"/>
        <v>0</v>
      </c>
      <c r="I17" t="s">
        <v>73</v>
      </c>
      <c r="N17" t="s">
        <v>73</v>
      </c>
    </row>
    <row r="18" spans="1:14" ht="43.2">
      <c r="A18" t="s">
        <v>7</v>
      </c>
      <c r="B18" s="15"/>
      <c r="C18" s="15"/>
      <c r="D18" s="15">
        <v>0</v>
      </c>
      <c r="E18" t="s">
        <v>71</v>
      </c>
      <c r="F18" s="16">
        <v>1</v>
      </c>
      <c r="G18" s="16">
        <f t="shared" si="1"/>
        <v>0</v>
      </c>
      <c r="I18" s="51" t="s">
        <v>529</v>
      </c>
      <c r="N18" s="51" t="s">
        <v>530</v>
      </c>
    </row>
    <row r="19" spans="1:14" ht="43.2">
      <c r="A19" t="s">
        <v>75</v>
      </c>
      <c r="B19" s="15">
        <f>'HE-PY24 Pricing'!B78</f>
        <v>250</v>
      </c>
      <c r="C19" s="15">
        <f>MROUND($C$2*$B19,5)</f>
        <v>225</v>
      </c>
      <c r="D19" s="15">
        <v>0</v>
      </c>
      <c r="E19" s="15">
        <v>250</v>
      </c>
      <c r="F19" s="16">
        <v>1</v>
      </c>
      <c r="G19" s="16">
        <f t="shared" si="1"/>
        <v>0</v>
      </c>
      <c r="I19" s="51" t="s">
        <v>530</v>
      </c>
    </row>
    <row r="20" spans="1:14">
      <c r="A20" t="s">
        <v>41</v>
      </c>
      <c r="B20" s="15">
        <f>'HE-PY24 Pricing'!B90</f>
        <v>380</v>
      </c>
      <c r="C20" s="15">
        <f>MROUND($C$2*$B20,5)</f>
        <v>340</v>
      </c>
      <c r="D20" s="15">
        <v>100</v>
      </c>
      <c r="E20" s="15">
        <v>380</v>
      </c>
      <c r="F20" s="16">
        <v>0.55000000000000004</v>
      </c>
      <c r="G20" s="16">
        <v>0.45</v>
      </c>
    </row>
    <row r="21" spans="1:14">
      <c r="A21" t="s">
        <v>44</v>
      </c>
      <c r="B21" s="15"/>
      <c r="C21" s="15">
        <f t="shared" ref="C21:C23" si="2">$C$2*$B21</f>
        <v>0</v>
      </c>
      <c r="D21" s="15">
        <v>0</v>
      </c>
      <c r="E21" t="s">
        <v>71</v>
      </c>
      <c r="F21" s="16">
        <v>1</v>
      </c>
      <c r="G21" s="16">
        <f t="shared" si="1"/>
        <v>0</v>
      </c>
      <c r="I21" t="s">
        <v>46</v>
      </c>
    </row>
    <row r="22" spans="1:14">
      <c r="A22" t="s">
        <v>76</v>
      </c>
      <c r="B22" s="15"/>
      <c r="C22" s="15">
        <f t="shared" si="2"/>
        <v>0</v>
      </c>
      <c r="D22" s="15">
        <v>0</v>
      </c>
      <c r="E22" t="s">
        <v>71</v>
      </c>
      <c r="F22" s="16">
        <v>1</v>
      </c>
      <c r="G22" s="16">
        <f t="shared" si="1"/>
        <v>0</v>
      </c>
      <c r="I22" t="s">
        <v>77</v>
      </c>
    </row>
    <row r="23" spans="1:14">
      <c r="A23" t="s">
        <v>78</v>
      </c>
      <c r="B23" s="15">
        <v>0</v>
      </c>
      <c r="C23" s="15">
        <f t="shared" si="2"/>
        <v>0</v>
      </c>
      <c r="D23" s="15">
        <v>0</v>
      </c>
      <c r="F23" s="16">
        <v>0.88</v>
      </c>
      <c r="G23" s="16">
        <f t="shared" si="1"/>
        <v>0.12</v>
      </c>
      <c r="I23" t="s">
        <v>79</v>
      </c>
    </row>
    <row r="24" spans="1:14">
      <c r="A24" t="s">
        <v>80</v>
      </c>
      <c r="B24" s="15">
        <v>3000</v>
      </c>
      <c r="C24" s="15">
        <f>B24</f>
        <v>3000</v>
      </c>
      <c r="D24" s="15">
        <v>0</v>
      </c>
      <c r="E24" s="15">
        <v>3000</v>
      </c>
      <c r="F24" s="16">
        <v>0</v>
      </c>
      <c r="G24" s="16">
        <v>1</v>
      </c>
    </row>
    <row r="25" spans="1:14" ht="28.8">
      <c r="A25" t="s">
        <v>81</v>
      </c>
      <c r="B25" s="15">
        <v>3000</v>
      </c>
      <c r="C25" s="15">
        <f>B25</f>
        <v>3000</v>
      </c>
      <c r="D25" s="15">
        <v>0</v>
      </c>
      <c r="E25" s="15">
        <v>3000</v>
      </c>
      <c r="F25" s="16">
        <v>0</v>
      </c>
      <c r="G25" s="16">
        <v>1</v>
      </c>
      <c r="I25" s="51" t="s">
        <v>1084</v>
      </c>
    </row>
    <row r="26" spans="1:14">
      <c r="A26" t="s">
        <v>254</v>
      </c>
      <c r="B26">
        <f>'Work Scope'!AJ66</f>
        <v>0</v>
      </c>
      <c r="C26">
        <f>C2*'Work Scope'!AJ66</f>
        <v>0</v>
      </c>
      <c r="I26" t="s">
        <v>634</v>
      </c>
    </row>
    <row r="27" spans="1:14">
      <c r="I27" t="s">
        <v>65</v>
      </c>
    </row>
    <row r="29" spans="1:14" ht="28.8">
      <c r="I29" s="51" t="s">
        <v>49</v>
      </c>
    </row>
    <row r="30" spans="1:14">
      <c r="I30" t="s">
        <v>66</v>
      </c>
    </row>
    <row r="31" spans="1:14">
      <c r="I31" t="s">
        <v>67</v>
      </c>
    </row>
    <row r="33" spans="9:9">
      <c r="I33" t="s">
        <v>82</v>
      </c>
    </row>
    <row r="34" spans="9:9" ht="43.2">
      <c r="I34" s="51" t="s">
        <v>541</v>
      </c>
    </row>
    <row r="35" spans="9:9" ht="43.2">
      <c r="I35" s="51" t="s">
        <v>542</v>
      </c>
    </row>
    <row r="37" spans="9:9" ht="28.8">
      <c r="I37" s="51" t="s">
        <v>382</v>
      </c>
    </row>
    <row r="38" spans="9:9" ht="28.8">
      <c r="I38" s="51" t="s">
        <v>381</v>
      </c>
    </row>
    <row r="39" spans="9:9" ht="28.8">
      <c r="I39" s="51" t="s">
        <v>380</v>
      </c>
    </row>
  </sheetData>
  <pageMargins left="0.7" right="0.7" top="0.75" bottom="0.75" header="0.3" footer="0.3"/>
  <pageSetup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A93CC5-CEE5-4568-B850-3F179879387D}">
  <dimension ref="A1:Z65"/>
  <sheetViews>
    <sheetView workbookViewId="0">
      <selection activeCell="K59" sqref="K59"/>
    </sheetView>
  </sheetViews>
  <sheetFormatPr defaultRowHeight="14.4"/>
  <cols>
    <col min="1" max="1" width="20.109375" bestFit="1" customWidth="1"/>
    <col min="4" max="4" width="27.109375" bestFit="1" customWidth="1"/>
    <col min="7" max="7" width="25.6640625" customWidth="1"/>
  </cols>
  <sheetData>
    <row r="1" spans="1:26">
      <c r="L1" t="s">
        <v>483</v>
      </c>
    </row>
    <row r="2" spans="1:26">
      <c r="A2" s="3" t="s">
        <v>518</v>
      </c>
      <c r="D2" t="s">
        <v>30</v>
      </c>
      <c r="G2" t="s">
        <v>87</v>
      </c>
      <c r="J2" t="s">
        <v>24</v>
      </c>
      <c r="L2" t="s">
        <v>470</v>
      </c>
      <c r="N2" t="s">
        <v>28</v>
      </c>
      <c r="T2">
        <v>1</v>
      </c>
      <c r="V2" t="s">
        <v>1042</v>
      </c>
      <c r="X2" t="s">
        <v>1044</v>
      </c>
      <c r="Z2" t="s">
        <v>571</v>
      </c>
    </row>
    <row r="3" spans="1:26">
      <c r="A3" s="3" t="s">
        <v>42</v>
      </c>
      <c r="D3" t="s">
        <v>31</v>
      </c>
      <c r="G3" t="s">
        <v>88</v>
      </c>
      <c r="J3" t="s">
        <v>25</v>
      </c>
      <c r="N3" t="s">
        <v>30</v>
      </c>
      <c r="T3">
        <v>2</v>
      </c>
      <c r="V3" t="s">
        <v>1043</v>
      </c>
      <c r="X3" t="s">
        <v>1045</v>
      </c>
    </row>
    <row r="4" spans="1:26">
      <c r="A4" s="3" t="s">
        <v>27</v>
      </c>
      <c r="D4" t="s">
        <v>28</v>
      </c>
      <c r="G4" t="s">
        <v>89</v>
      </c>
      <c r="J4" t="s">
        <v>26</v>
      </c>
      <c r="L4" t="str">
        <f>TRIM(L1)</f>
        <v/>
      </c>
      <c r="T4">
        <v>3</v>
      </c>
    </row>
    <row r="5" spans="1:26">
      <c r="A5" s="3" t="s">
        <v>8</v>
      </c>
      <c r="D5" t="s">
        <v>32</v>
      </c>
      <c r="G5" t="s">
        <v>90</v>
      </c>
      <c r="J5" t="s">
        <v>8</v>
      </c>
      <c r="L5">
        <f>LEN(L4)</f>
        <v>0</v>
      </c>
      <c r="N5" s="7" t="s">
        <v>549</v>
      </c>
    </row>
    <row r="6" spans="1:26">
      <c r="D6" t="s">
        <v>19</v>
      </c>
      <c r="G6" t="s">
        <v>91</v>
      </c>
    </row>
    <row r="7" spans="1:26">
      <c r="A7" s="3"/>
      <c r="G7" t="s">
        <v>92</v>
      </c>
      <c r="J7" t="s">
        <v>113</v>
      </c>
      <c r="N7" s="259" t="s">
        <v>255</v>
      </c>
      <c r="T7" t="s">
        <v>988</v>
      </c>
      <c r="X7" t="s">
        <v>1061</v>
      </c>
    </row>
    <row r="8" spans="1:26">
      <c r="G8" t="s">
        <v>93</v>
      </c>
      <c r="J8" t="s">
        <v>114</v>
      </c>
      <c r="N8" s="259" t="s">
        <v>260</v>
      </c>
      <c r="T8" t="s">
        <v>1063</v>
      </c>
      <c r="X8" t="s">
        <v>1066</v>
      </c>
    </row>
    <row r="9" spans="1:26">
      <c r="D9" t="s">
        <v>33</v>
      </c>
      <c r="N9" s="260" t="s">
        <v>263</v>
      </c>
      <c r="T9" t="s">
        <v>992</v>
      </c>
      <c r="X9" t="s">
        <v>1067</v>
      </c>
    </row>
    <row r="10" spans="1:26">
      <c r="A10" s="3" t="s">
        <v>9</v>
      </c>
      <c r="D10" t="s">
        <v>34</v>
      </c>
      <c r="N10" s="260" t="s">
        <v>265</v>
      </c>
      <c r="T10" t="s">
        <v>994</v>
      </c>
      <c r="X10" t="s">
        <v>57</v>
      </c>
    </row>
    <row r="11" spans="1:26">
      <c r="A11" s="3" t="s">
        <v>10</v>
      </c>
      <c r="D11" t="s">
        <v>35</v>
      </c>
      <c r="G11" t="s">
        <v>94</v>
      </c>
      <c r="J11">
        <v>0</v>
      </c>
      <c r="N11" s="2" t="s">
        <v>285</v>
      </c>
      <c r="T11" t="s">
        <v>996</v>
      </c>
      <c r="X11" t="s">
        <v>1062</v>
      </c>
    </row>
    <row r="12" spans="1:26">
      <c r="A12" s="3" t="s">
        <v>11</v>
      </c>
      <c r="D12" t="s">
        <v>32</v>
      </c>
      <c r="G12" t="s">
        <v>95</v>
      </c>
      <c r="J12">
        <v>1</v>
      </c>
      <c r="N12" s="259" t="s">
        <v>300</v>
      </c>
      <c r="T12" t="s">
        <v>1064</v>
      </c>
      <c r="X12" t="s">
        <v>1068</v>
      </c>
    </row>
    <row r="13" spans="1:26">
      <c r="A13" s="3" t="s">
        <v>42</v>
      </c>
      <c r="D13" t="s">
        <v>19</v>
      </c>
      <c r="G13" t="s">
        <v>96</v>
      </c>
      <c r="J13">
        <v>2</v>
      </c>
      <c r="N13" s="2" t="s">
        <v>302</v>
      </c>
      <c r="X13" t="s">
        <v>1069</v>
      </c>
    </row>
    <row r="14" spans="1:26">
      <c r="A14" s="3" t="s">
        <v>535</v>
      </c>
      <c r="J14">
        <v>3</v>
      </c>
      <c r="N14" s="259" t="s">
        <v>306</v>
      </c>
      <c r="T14">
        <v>1</v>
      </c>
      <c r="U14">
        <v>1</v>
      </c>
      <c r="V14">
        <v>0.44</v>
      </c>
      <c r="X14" t="s">
        <v>1070</v>
      </c>
    </row>
    <row r="15" spans="1:26">
      <c r="A15" s="3" t="s">
        <v>536</v>
      </c>
      <c r="J15">
        <v>4</v>
      </c>
      <c r="T15">
        <v>1.5</v>
      </c>
      <c r="U15">
        <v>1.18</v>
      </c>
      <c r="V15">
        <v>0.47</v>
      </c>
    </row>
    <row r="16" spans="1:26">
      <c r="A16" s="3" t="s">
        <v>29</v>
      </c>
      <c r="D16" s="7" t="s">
        <v>138</v>
      </c>
      <c r="G16" t="s">
        <v>155</v>
      </c>
      <c r="T16">
        <v>2</v>
      </c>
      <c r="U16">
        <v>1.32</v>
      </c>
      <c r="V16">
        <v>0.48</v>
      </c>
    </row>
    <row r="17" spans="1:22">
      <c r="A17" s="3" t="s">
        <v>19</v>
      </c>
      <c r="G17" t="s">
        <v>156</v>
      </c>
      <c r="T17">
        <v>2.5</v>
      </c>
      <c r="U17">
        <v>1.44</v>
      </c>
      <c r="V17">
        <v>0.51</v>
      </c>
    </row>
    <row r="18" spans="1:22">
      <c r="D18" t="s">
        <v>139</v>
      </c>
      <c r="G18" t="s">
        <v>157</v>
      </c>
      <c r="T18">
        <v>3</v>
      </c>
      <c r="U18">
        <v>1.55</v>
      </c>
      <c r="V18">
        <v>0.55000000000000004</v>
      </c>
    </row>
    <row r="19" spans="1:22">
      <c r="A19" t="s">
        <v>12</v>
      </c>
      <c r="D19" t="s">
        <v>117</v>
      </c>
      <c r="V19">
        <v>0.56000000000000005</v>
      </c>
    </row>
    <row r="20" spans="1:22">
      <c r="A20" t="s">
        <v>13</v>
      </c>
      <c r="D20" t="s">
        <v>140</v>
      </c>
      <c r="V20">
        <v>0.56999999999999995</v>
      </c>
    </row>
    <row r="21" spans="1:22">
      <c r="A21" t="s">
        <v>14</v>
      </c>
      <c r="D21" t="s">
        <v>19</v>
      </c>
      <c r="G21" t="s">
        <v>162</v>
      </c>
      <c r="L21" t="s">
        <v>83</v>
      </c>
      <c r="V21">
        <v>0.57999999999999996</v>
      </c>
    </row>
    <row r="22" spans="1:22">
      <c r="A22" t="s">
        <v>15</v>
      </c>
      <c r="G22" t="s">
        <v>83</v>
      </c>
      <c r="V22">
        <v>0.6</v>
      </c>
    </row>
    <row r="23" spans="1:22">
      <c r="A23" t="s">
        <v>16</v>
      </c>
    </row>
    <row r="24" spans="1:22">
      <c r="A24" t="s">
        <v>17</v>
      </c>
      <c r="D24" t="s">
        <v>150</v>
      </c>
    </row>
    <row r="25" spans="1:22">
      <c r="A25" t="s">
        <v>18</v>
      </c>
      <c r="D25" t="s">
        <v>151</v>
      </c>
      <c r="G25" s="304" t="s">
        <v>387</v>
      </c>
      <c r="H25" s="193"/>
      <c r="I25" s="193"/>
      <c r="J25" s="193"/>
      <c r="K25" s="193"/>
      <c r="L25" s="193"/>
      <c r="M25" s="193" t="s">
        <v>414</v>
      </c>
      <c r="N25" s="193"/>
      <c r="O25" s="193"/>
      <c r="P25" s="193"/>
      <c r="Q25" s="193"/>
    </row>
    <row r="26" spans="1:22" ht="14.4" customHeight="1">
      <c r="A26" t="s">
        <v>19</v>
      </c>
      <c r="D26" t="s">
        <v>152</v>
      </c>
      <c r="G26" s="305" t="s">
        <v>388</v>
      </c>
      <c r="H26" s="194"/>
      <c r="I26" s="194"/>
      <c r="J26" s="194"/>
      <c r="K26" s="194"/>
      <c r="L26" s="194"/>
      <c r="M26" s="194" t="s">
        <v>393</v>
      </c>
      <c r="N26" s="194"/>
      <c r="O26" s="194"/>
      <c r="P26" s="194"/>
      <c r="Q26" s="194"/>
    </row>
    <row r="27" spans="1:22" ht="14.4" customHeight="1">
      <c r="D27" t="s">
        <v>44</v>
      </c>
      <c r="G27" s="304" t="s">
        <v>389</v>
      </c>
      <c r="H27" s="195"/>
      <c r="I27" s="195"/>
      <c r="J27" s="195"/>
      <c r="K27" s="195"/>
      <c r="L27" s="195"/>
      <c r="M27" s="195" t="s">
        <v>409</v>
      </c>
      <c r="N27" s="195"/>
      <c r="O27" s="195"/>
      <c r="P27" s="195"/>
      <c r="Q27" s="195"/>
    </row>
    <row r="28" spans="1:22">
      <c r="D28" t="s">
        <v>28</v>
      </c>
      <c r="G28" s="304" t="s">
        <v>390</v>
      </c>
      <c r="H28" s="195"/>
      <c r="I28" s="195"/>
      <c r="J28" s="195"/>
      <c r="K28" s="195"/>
      <c r="L28" s="195"/>
      <c r="M28" s="195" t="s">
        <v>413</v>
      </c>
      <c r="N28" s="195"/>
      <c r="O28" s="195"/>
      <c r="P28" s="195"/>
      <c r="Q28" s="195"/>
    </row>
    <row r="29" spans="1:22">
      <c r="A29" s="3" t="s">
        <v>20</v>
      </c>
      <c r="D29" t="s">
        <v>19</v>
      </c>
      <c r="G29" s="304" t="s">
        <v>391</v>
      </c>
      <c r="H29" s="195"/>
      <c r="I29" s="195"/>
      <c r="J29" s="195"/>
      <c r="K29" s="195"/>
      <c r="L29" s="195"/>
      <c r="M29" s="195" t="s">
        <v>606</v>
      </c>
      <c r="N29" s="195"/>
      <c r="O29" s="195"/>
      <c r="P29" s="195"/>
      <c r="Q29" s="195"/>
    </row>
    <row r="30" spans="1:22" ht="14.4" customHeight="1">
      <c r="A30" s="3" t="s">
        <v>21</v>
      </c>
      <c r="D30" t="s">
        <v>32</v>
      </c>
      <c r="G30" s="304" t="s">
        <v>392</v>
      </c>
      <c r="H30" s="195"/>
      <c r="I30" s="195"/>
      <c r="J30" s="195"/>
      <c r="K30" s="195"/>
      <c r="L30" s="195"/>
      <c r="M30" s="195" t="s">
        <v>412</v>
      </c>
      <c r="N30" s="195"/>
      <c r="O30" s="195"/>
      <c r="P30" s="195"/>
      <c r="Q30" s="195"/>
    </row>
    <row r="31" spans="1:22">
      <c r="A31" s="3" t="s">
        <v>22</v>
      </c>
      <c r="G31" s="304" t="s">
        <v>393</v>
      </c>
      <c r="H31" s="195"/>
      <c r="I31" s="195"/>
      <c r="J31" s="195"/>
      <c r="K31" s="195"/>
      <c r="L31" s="195"/>
      <c r="M31" s="195" t="s">
        <v>410</v>
      </c>
      <c r="N31" s="195"/>
      <c r="O31" s="195"/>
      <c r="P31" s="195"/>
      <c r="Q31" s="195"/>
    </row>
    <row r="32" spans="1:22" ht="14.4" customHeight="1">
      <c r="A32" s="3" t="s">
        <v>23</v>
      </c>
      <c r="G32" s="304" t="s">
        <v>394</v>
      </c>
      <c r="H32" s="195"/>
      <c r="I32" s="195"/>
      <c r="J32" s="195"/>
      <c r="K32" s="195"/>
      <c r="L32" s="195"/>
      <c r="M32" s="193" t="s">
        <v>416</v>
      </c>
      <c r="N32" s="195"/>
      <c r="O32" s="195"/>
      <c r="P32" s="195"/>
      <c r="Q32" s="195"/>
    </row>
    <row r="33" spans="1:17" ht="14.4" customHeight="1">
      <c r="G33" s="304" t="s">
        <v>395</v>
      </c>
      <c r="H33" s="195"/>
      <c r="I33" s="195"/>
      <c r="J33" s="195"/>
      <c r="K33" s="195"/>
      <c r="L33" s="195"/>
      <c r="M33" s="193" t="s">
        <v>415</v>
      </c>
      <c r="N33" s="195"/>
      <c r="O33" s="195"/>
      <c r="P33" s="195"/>
      <c r="Q33" s="195"/>
    </row>
    <row r="34" spans="1:17" ht="14.4" customHeight="1">
      <c r="G34" s="304" t="s">
        <v>396</v>
      </c>
      <c r="H34" s="195"/>
      <c r="I34" s="195"/>
      <c r="J34" s="195"/>
      <c r="K34" s="195"/>
      <c r="L34" s="195"/>
      <c r="M34" s="195" t="s">
        <v>390</v>
      </c>
      <c r="N34" s="195"/>
      <c r="O34" s="195"/>
      <c r="P34" s="195"/>
      <c r="Q34" s="195"/>
    </row>
    <row r="35" spans="1:17">
      <c r="A35" s="19" t="s">
        <v>130</v>
      </c>
      <c r="G35" s="304" t="s">
        <v>397</v>
      </c>
      <c r="H35" s="195"/>
      <c r="I35" s="195"/>
      <c r="J35" s="195"/>
      <c r="K35" s="195"/>
      <c r="L35" s="195"/>
      <c r="M35" s="195" t="s">
        <v>407</v>
      </c>
      <c r="N35" s="195"/>
      <c r="O35" s="195"/>
      <c r="P35" s="195"/>
      <c r="Q35" s="195"/>
    </row>
    <row r="36" spans="1:17" ht="14.4" customHeight="1">
      <c r="A36" s="3" t="s">
        <v>142</v>
      </c>
      <c r="G36" s="304" t="s">
        <v>398</v>
      </c>
      <c r="H36" s="195"/>
      <c r="I36" s="195"/>
      <c r="J36" s="195"/>
      <c r="K36" s="195"/>
      <c r="L36" s="195"/>
      <c r="M36" s="195" t="s">
        <v>408</v>
      </c>
      <c r="N36" s="195"/>
      <c r="O36" s="195"/>
      <c r="P36" s="195"/>
      <c r="Q36" s="195"/>
    </row>
    <row r="37" spans="1:17">
      <c r="A37" s="3" t="s">
        <v>143</v>
      </c>
      <c r="G37" s="304" t="s">
        <v>399</v>
      </c>
      <c r="H37" s="195"/>
      <c r="I37" s="195"/>
      <c r="J37" s="195"/>
      <c r="K37" s="195"/>
      <c r="L37" s="195"/>
      <c r="M37" s="195" t="s">
        <v>392</v>
      </c>
      <c r="N37" s="195"/>
      <c r="O37" s="195"/>
      <c r="P37" s="195"/>
      <c r="Q37" s="195"/>
    </row>
    <row r="38" spans="1:17" ht="14.4" customHeight="1">
      <c r="A38" s="3" t="s">
        <v>144</v>
      </c>
      <c r="G38" s="304" t="s">
        <v>400</v>
      </c>
      <c r="H38" s="195"/>
      <c r="I38" s="195"/>
      <c r="J38" s="195"/>
      <c r="K38" s="195"/>
      <c r="L38" s="195"/>
      <c r="M38" s="195" t="s">
        <v>396</v>
      </c>
      <c r="N38" s="195"/>
      <c r="O38" s="195"/>
      <c r="P38" s="195"/>
      <c r="Q38" s="195"/>
    </row>
    <row r="39" spans="1:17">
      <c r="A39" s="3" t="s">
        <v>145</v>
      </c>
      <c r="G39" s="304" t="s">
        <v>401</v>
      </c>
      <c r="H39" s="195"/>
      <c r="I39" s="195"/>
      <c r="J39" s="195"/>
      <c r="K39" s="195"/>
      <c r="L39" s="195"/>
      <c r="M39" s="306" t="s">
        <v>607</v>
      </c>
      <c r="N39" s="195"/>
      <c r="O39" s="195"/>
      <c r="P39" s="195"/>
      <c r="Q39" s="195"/>
    </row>
    <row r="40" spans="1:17">
      <c r="A40" s="20">
        <v>1</v>
      </c>
      <c r="G40" s="304" t="s">
        <v>402</v>
      </c>
      <c r="H40" s="195"/>
      <c r="I40" s="195"/>
      <c r="J40" s="195"/>
      <c r="K40" s="195"/>
      <c r="L40" s="195"/>
      <c r="M40" s="195" t="s">
        <v>401</v>
      </c>
      <c r="N40" s="195"/>
      <c r="O40" s="195"/>
      <c r="P40" s="195"/>
      <c r="Q40" s="195"/>
    </row>
    <row r="41" spans="1:17" ht="14.4" customHeight="1">
      <c r="A41" s="3"/>
      <c r="G41" s="304" t="s">
        <v>416</v>
      </c>
      <c r="H41" s="193"/>
      <c r="I41" s="193"/>
      <c r="J41" s="193"/>
      <c r="K41" s="193"/>
      <c r="L41" s="193"/>
      <c r="M41" s="195" t="s">
        <v>399</v>
      </c>
      <c r="N41" s="193"/>
      <c r="O41" s="193"/>
      <c r="P41" s="193"/>
      <c r="Q41" s="193"/>
    </row>
    <row r="42" spans="1:17">
      <c r="A42" s="3"/>
      <c r="G42" s="304" t="s">
        <v>415</v>
      </c>
      <c r="H42" s="193"/>
      <c r="I42" s="193"/>
      <c r="J42" s="193"/>
      <c r="K42" s="193"/>
      <c r="L42" s="193"/>
      <c r="M42" s="195" t="s">
        <v>411</v>
      </c>
      <c r="N42" s="193"/>
      <c r="O42" s="193"/>
      <c r="P42" s="193"/>
      <c r="Q42" s="193"/>
    </row>
    <row r="43" spans="1:17" ht="14.4" customHeight="1">
      <c r="A43" s="3" t="s">
        <v>131</v>
      </c>
      <c r="G43" s="304" t="s">
        <v>403</v>
      </c>
      <c r="H43" s="193"/>
      <c r="I43" s="193"/>
      <c r="J43" s="193"/>
      <c r="K43" s="193"/>
      <c r="L43" s="193"/>
      <c r="M43" s="195" t="s">
        <v>398</v>
      </c>
      <c r="N43" s="193"/>
      <c r="O43" s="193"/>
      <c r="P43" s="193"/>
      <c r="Q43" s="193"/>
    </row>
    <row r="44" spans="1:17" ht="14.4" customHeight="1">
      <c r="A44" s="3" t="s">
        <v>132</v>
      </c>
      <c r="G44" s="304" t="s">
        <v>404</v>
      </c>
      <c r="H44" s="195"/>
      <c r="I44" s="195"/>
      <c r="J44" s="195"/>
      <c r="K44" s="195"/>
      <c r="L44" s="195"/>
      <c r="M44" s="306" t="s">
        <v>1089</v>
      </c>
      <c r="N44" s="195"/>
      <c r="O44" s="195"/>
      <c r="P44" s="195"/>
      <c r="Q44" s="195"/>
    </row>
    <row r="45" spans="1:17">
      <c r="A45" s="3" t="s">
        <v>133</v>
      </c>
      <c r="G45" s="304" t="s">
        <v>405</v>
      </c>
      <c r="H45" s="195"/>
      <c r="I45" s="195"/>
      <c r="J45" s="195"/>
      <c r="K45" s="195"/>
      <c r="L45" s="195"/>
      <c r="M45" s="306" t="s">
        <v>1090</v>
      </c>
      <c r="N45" s="195"/>
      <c r="O45" s="195"/>
      <c r="P45" s="195"/>
      <c r="Q45" s="195"/>
    </row>
    <row r="46" spans="1:17">
      <c r="A46" s="3" t="s">
        <v>134</v>
      </c>
      <c r="G46" s="304" t="s">
        <v>406</v>
      </c>
      <c r="H46" s="195"/>
      <c r="I46" s="195"/>
      <c r="J46" s="195"/>
      <c r="K46" s="195"/>
      <c r="L46" s="195"/>
      <c r="M46" s="195" t="s">
        <v>397</v>
      </c>
      <c r="N46" s="195"/>
      <c r="O46" s="195"/>
      <c r="P46" s="195"/>
      <c r="Q46" s="195"/>
    </row>
    <row r="47" spans="1:17">
      <c r="A47" s="3" t="s">
        <v>8</v>
      </c>
      <c r="G47" s="304" t="s">
        <v>407</v>
      </c>
      <c r="H47" s="195"/>
      <c r="I47" s="195"/>
      <c r="J47" s="195"/>
      <c r="K47" s="195"/>
      <c r="L47" s="195"/>
      <c r="M47" t="s">
        <v>403</v>
      </c>
      <c r="N47" s="195"/>
      <c r="O47" s="195"/>
      <c r="P47" s="195"/>
      <c r="Q47" s="195"/>
    </row>
    <row r="48" spans="1:17" ht="14.4" customHeight="1">
      <c r="G48" s="304" t="s">
        <v>408</v>
      </c>
      <c r="H48" s="195"/>
      <c r="I48" s="195"/>
      <c r="J48" s="195"/>
      <c r="K48" s="195"/>
      <c r="L48" s="195"/>
      <c r="M48" s="195" t="s">
        <v>406</v>
      </c>
      <c r="N48" s="195"/>
      <c r="O48" s="195"/>
      <c r="P48" s="195"/>
      <c r="Q48" s="195"/>
    </row>
    <row r="49" spans="7:17">
      <c r="G49" s="304" t="s">
        <v>409</v>
      </c>
      <c r="H49" s="193"/>
      <c r="I49" s="193"/>
      <c r="J49" s="193"/>
      <c r="K49" s="193"/>
      <c r="L49" s="193"/>
      <c r="M49" s="195" t="s">
        <v>402</v>
      </c>
      <c r="N49" s="193"/>
      <c r="O49" s="193"/>
      <c r="P49" s="193"/>
      <c r="Q49" s="193"/>
    </row>
    <row r="50" spans="7:17" ht="14.4" customHeight="1">
      <c r="G50" s="304" t="s">
        <v>410</v>
      </c>
      <c r="H50" s="195"/>
      <c r="I50" s="195"/>
      <c r="J50" s="195"/>
      <c r="K50" s="195"/>
      <c r="L50" s="195"/>
      <c r="M50" s="195" t="s">
        <v>395</v>
      </c>
      <c r="N50" s="195"/>
      <c r="O50" s="195"/>
      <c r="P50" s="195"/>
      <c r="Q50" s="195"/>
    </row>
    <row r="51" spans="7:17" ht="14.4" customHeight="1">
      <c r="G51" s="304" t="s">
        <v>411</v>
      </c>
      <c r="H51" s="195"/>
      <c r="I51" s="195"/>
      <c r="J51" s="195"/>
      <c r="K51" s="195"/>
      <c r="L51" s="195"/>
      <c r="M51" s="306" t="s">
        <v>81</v>
      </c>
      <c r="N51" s="195"/>
      <c r="O51" s="195"/>
      <c r="P51" s="195"/>
      <c r="Q51" s="195"/>
    </row>
    <row r="52" spans="7:17" ht="14.4" customHeight="1">
      <c r="G52" s="304" t="s">
        <v>412</v>
      </c>
      <c r="H52" s="195"/>
      <c r="I52" s="195"/>
      <c r="J52" s="195"/>
      <c r="K52" s="195"/>
      <c r="L52" s="195"/>
      <c r="M52" s="195" t="s">
        <v>636</v>
      </c>
      <c r="N52" s="195"/>
      <c r="O52" s="195"/>
      <c r="P52" s="195"/>
      <c r="Q52" s="195"/>
    </row>
    <row r="53" spans="7:17">
      <c r="G53" s="304" t="s">
        <v>413</v>
      </c>
      <c r="H53" s="195"/>
      <c r="I53" s="195"/>
      <c r="J53" s="195"/>
      <c r="K53" s="195"/>
      <c r="L53" s="195"/>
      <c r="M53" s="195" t="s">
        <v>389</v>
      </c>
      <c r="N53" s="195"/>
      <c r="O53" s="195"/>
      <c r="P53" s="195"/>
      <c r="Q53" s="195"/>
    </row>
    <row r="54" spans="7:17">
      <c r="G54" s="304" t="s">
        <v>414</v>
      </c>
      <c r="H54" s="193"/>
      <c r="I54" s="193"/>
      <c r="J54" s="193"/>
      <c r="K54" s="193"/>
      <c r="L54" s="193"/>
      <c r="M54" s="194" t="s">
        <v>388</v>
      </c>
      <c r="N54" s="193"/>
      <c r="O54" s="193"/>
      <c r="P54" s="193"/>
      <c r="Q54" s="193"/>
    </row>
    <row r="55" spans="7:17">
      <c r="M55" s="195" t="s">
        <v>391</v>
      </c>
    </row>
    <row r="56" spans="7:17">
      <c r="M56" s="195" t="s">
        <v>400</v>
      </c>
    </row>
    <row r="57" spans="7:17">
      <c r="M57" s="195" t="s">
        <v>387</v>
      </c>
    </row>
    <row r="58" spans="7:17">
      <c r="M58" s="195" t="s">
        <v>394</v>
      </c>
    </row>
    <row r="59" spans="7:17">
      <c r="M59" s="195" t="s">
        <v>405</v>
      </c>
    </row>
    <row r="60" spans="7:17">
      <c r="M60" s="195" t="s">
        <v>635</v>
      </c>
    </row>
    <row r="61" spans="7:17">
      <c r="M61" s="306" t="s">
        <v>1091</v>
      </c>
    </row>
    <row r="62" spans="7:17">
      <c r="M62" s="306" t="s">
        <v>1092</v>
      </c>
    </row>
    <row r="63" spans="7:17">
      <c r="M63" s="195" t="s">
        <v>1093</v>
      </c>
    </row>
    <row r="64" spans="7:17">
      <c r="M64" s="306" t="s">
        <v>1094</v>
      </c>
    </row>
    <row r="65" spans="13:13">
      <c r="M65" s="306"/>
    </row>
  </sheetData>
  <sortState xmlns:xlrd2="http://schemas.microsoft.com/office/spreadsheetml/2017/richdata2" ref="M30:M58">
    <sortCondition ref="M30:M58"/>
  </sortState>
  <pageMargins left="0.7" right="0.7" top="0.75" bottom="0.75" header="0.3" footer="0.3"/>
  <pageSetup orientation="portrait" horizontalDpi="1200" verticalDpi="1200"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55AF56-4AEF-4B3F-A561-B2F32B608E9B}">
  <dimension ref="A1:AZ158"/>
  <sheetViews>
    <sheetView showGridLines="0" zoomScale="130" zoomScaleNormal="130" zoomScalePageLayoutView="130" workbookViewId="0">
      <selection activeCell="I9" sqref="I9:Q9"/>
    </sheetView>
  </sheetViews>
  <sheetFormatPr defaultRowHeight="14.4"/>
  <cols>
    <col min="1" max="1" width="0.88671875" customWidth="1"/>
    <col min="2" max="38" width="2.6640625" customWidth="1"/>
    <col min="39" max="39" width="0.88671875" customWidth="1"/>
    <col min="40" max="41" width="2.6640625" customWidth="1"/>
  </cols>
  <sheetData>
    <row r="1" spans="1:39" s="424" customFormat="1" ht="23.25" customHeight="1">
      <c r="A1" s="423"/>
      <c r="B1" s="1387" t="s">
        <v>961</v>
      </c>
      <c r="C1" s="1387"/>
      <c r="D1" s="1387"/>
      <c r="E1" s="1387"/>
      <c r="F1" s="1387"/>
      <c r="G1" s="1387"/>
      <c r="H1" s="1387"/>
      <c r="I1" s="1387"/>
      <c r="J1" s="1387"/>
      <c r="K1" s="1387"/>
      <c r="L1" s="1387"/>
      <c r="M1" s="1387"/>
      <c r="N1" s="1387"/>
      <c r="O1" s="1387"/>
      <c r="P1" s="1387"/>
      <c r="Q1" s="1387"/>
      <c r="R1" s="1387"/>
      <c r="S1" s="1387"/>
      <c r="T1" s="1387"/>
      <c r="U1" s="1387"/>
      <c r="V1" s="1387"/>
      <c r="W1" s="1387"/>
      <c r="X1" s="1387"/>
      <c r="Y1" s="1387"/>
      <c r="Z1" s="1387"/>
      <c r="AA1" s="1387"/>
      <c r="AB1" s="1387"/>
      <c r="AC1" s="1387"/>
      <c r="AD1" s="1387"/>
      <c r="AE1" s="1387"/>
      <c r="AF1" s="1387"/>
      <c r="AG1" s="1387"/>
      <c r="AH1" s="1387"/>
      <c r="AI1" s="1387"/>
      <c r="AJ1" s="1387"/>
      <c r="AK1" s="1387"/>
      <c r="AL1" s="1387"/>
    </row>
    <row r="2" spans="1:39" s="196" customFormat="1" ht="21" customHeight="1">
      <c r="A2" s="425"/>
      <c r="B2" s="1388" t="s">
        <v>962</v>
      </c>
      <c r="C2" s="1388"/>
      <c r="D2" s="1388"/>
      <c r="E2" s="1388"/>
      <c r="F2" s="1388"/>
      <c r="G2" s="1388"/>
      <c r="H2" s="1388"/>
      <c r="I2" s="1388"/>
      <c r="J2" s="1388"/>
      <c r="K2" s="1388"/>
      <c r="L2" s="1388"/>
      <c r="M2" s="1388"/>
      <c r="N2" s="1388"/>
      <c r="O2" s="1388"/>
      <c r="P2" s="1388"/>
      <c r="Q2" s="1388"/>
      <c r="R2" s="1388"/>
      <c r="S2" s="1388"/>
      <c r="T2" s="1388"/>
      <c r="U2" s="1388"/>
      <c r="V2" s="1388"/>
      <c r="W2" s="1388"/>
      <c r="X2" s="1388"/>
      <c r="Y2" s="1388"/>
      <c r="Z2" s="1388"/>
      <c r="AA2" s="1388"/>
      <c r="AB2" s="1388"/>
      <c r="AC2" s="1388"/>
      <c r="AD2" s="1388"/>
      <c r="AE2" s="1388"/>
      <c r="AF2" s="1388"/>
      <c r="AG2" s="1388"/>
      <c r="AH2" s="1388"/>
      <c r="AI2" s="1388"/>
      <c r="AJ2" s="1388"/>
      <c r="AK2" s="1388"/>
      <c r="AL2" s="1388"/>
    </row>
    <row r="3" spans="1:39" ht="3.6" customHeight="1" thickBot="1">
      <c r="B3" s="1389"/>
      <c r="C3" s="1389"/>
      <c r="D3" s="1389"/>
      <c r="E3" s="1389"/>
      <c r="F3" s="1389"/>
      <c r="G3" s="1389"/>
      <c r="H3" s="1389"/>
      <c r="I3" s="1389"/>
      <c r="J3" s="1389"/>
      <c r="K3" s="1389"/>
      <c r="L3" s="1389"/>
      <c r="M3" s="1389"/>
      <c r="N3" s="1389"/>
      <c r="O3" s="1389"/>
      <c r="P3" s="1389"/>
      <c r="Q3" s="1389"/>
      <c r="R3" s="1389"/>
      <c r="S3" s="1389"/>
      <c r="T3" s="1389"/>
      <c r="U3" s="1389"/>
      <c r="V3" s="1389"/>
      <c r="W3" s="1389"/>
      <c r="X3" s="1389"/>
      <c r="Y3" s="1389"/>
      <c r="Z3" s="1389"/>
      <c r="AA3" s="1389"/>
      <c r="AB3" s="1389"/>
      <c r="AC3" s="1389"/>
      <c r="AD3" s="1389"/>
      <c r="AE3" s="1389"/>
      <c r="AF3" s="1389"/>
      <c r="AG3" s="1389"/>
      <c r="AH3" s="1389"/>
      <c r="AI3" s="1389"/>
      <c r="AJ3" s="1389"/>
      <c r="AK3" s="1389"/>
      <c r="AL3" s="1389"/>
    </row>
    <row r="4" spans="1:39" s="427" customFormat="1" ht="21.6" customHeight="1">
      <c r="A4" s="426"/>
      <c r="B4" s="644" t="s">
        <v>963</v>
      </c>
      <c r="C4" s="645"/>
      <c r="D4" s="645"/>
      <c r="E4" s="645"/>
      <c r="F4" s="645"/>
      <c r="G4" s="645"/>
      <c r="H4" s="645"/>
      <c r="I4" s="645"/>
      <c r="J4" s="645"/>
      <c r="K4" s="645"/>
      <c r="L4" s="645"/>
      <c r="M4" s="645"/>
      <c r="N4" s="645"/>
      <c r="O4" s="645"/>
      <c r="P4" s="645"/>
      <c r="Q4" s="645"/>
      <c r="R4" s="645"/>
      <c r="S4" s="645"/>
      <c r="T4" s="645"/>
      <c r="U4" s="645"/>
      <c r="V4" s="645"/>
      <c r="W4" s="645"/>
      <c r="X4" s="645"/>
      <c r="Y4" s="645"/>
      <c r="Z4" s="645"/>
      <c r="AA4" s="645"/>
      <c r="AB4" s="645"/>
      <c r="AC4" s="645"/>
      <c r="AD4" s="645"/>
      <c r="AE4" s="645"/>
      <c r="AF4" s="645"/>
      <c r="AG4" s="645"/>
      <c r="AH4" s="645"/>
      <c r="AI4" s="645"/>
      <c r="AJ4" s="645"/>
      <c r="AK4" s="645"/>
      <c r="AL4" s="646"/>
    </row>
    <row r="5" spans="1:39" ht="2.85" customHeight="1">
      <c r="B5" s="1390"/>
      <c r="C5" s="1391"/>
      <c r="D5" s="1391"/>
      <c r="E5" s="1391"/>
      <c r="F5" s="1391"/>
      <c r="G5" s="1391"/>
      <c r="H5" s="1391"/>
      <c r="I5" s="1391"/>
      <c r="J5" s="1391"/>
      <c r="K5" s="1391"/>
      <c r="L5" s="1391"/>
      <c r="M5" s="1391"/>
      <c r="N5" s="1391"/>
      <c r="O5" s="1391"/>
      <c r="P5" s="1391"/>
      <c r="Q5" s="1391"/>
      <c r="R5" s="1391"/>
      <c r="S5" s="1391"/>
      <c r="T5" s="1391"/>
      <c r="U5" s="1391"/>
      <c r="V5" s="1391"/>
      <c r="W5" s="1391"/>
      <c r="X5" s="1391"/>
      <c r="Y5" s="1391"/>
      <c r="Z5" s="1391"/>
      <c r="AA5" s="1391"/>
      <c r="AB5" s="1391"/>
      <c r="AC5" s="1391"/>
      <c r="AD5" s="1391"/>
      <c r="AE5" s="1391"/>
      <c r="AF5" s="1391"/>
      <c r="AG5" s="1391"/>
      <c r="AH5" s="1391"/>
      <c r="AI5" s="1391"/>
      <c r="AJ5" s="1391"/>
      <c r="AK5" s="1391"/>
      <c r="AL5" s="1392"/>
    </row>
    <row r="6" spans="1:39" ht="12" customHeight="1">
      <c r="B6" s="1382" t="s">
        <v>422</v>
      </c>
      <c r="C6" s="1383"/>
      <c r="D6" s="1383"/>
      <c r="E6" s="1383"/>
      <c r="F6" s="1393" t="str">
        <f>IF('Project Information'!M12="","",'Project Information'!M12)</f>
        <v/>
      </c>
      <c r="G6" s="1393"/>
      <c r="H6" s="1393"/>
      <c r="I6" s="1393"/>
      <c r="J6" s="1393"/>
      <c r="K6" s="1393"/>
      <c r="L6" s="1393"/>
      <c r="M6" s="1385" t="s">
        <v>1052</v>
      </c>
      <c r="N6" s="1385"/>
      <c r="O6" s="1385"/>
      <c r="P6" s="1385"/>
      <c r="Q6" s="490"/>
      <c r="R6" s="1394" t="str">
        <f>IF('Project Information'!E6="","",'Project Information'!E6)</f>
        <v/>
      </c>
      <c r="S6" s="1394"/>
      <c r="T6" s="1394"/>
      <c r="U6" s="1394"/>
      <c r="V6" s="1394"/>
      <c r="W6" s="1394"/>
      <c r="X6" s="1394"/>
      <c r="Y6" s="1394"/>
      <c r="Z6" s="1394"/>
      <c r="AA6" s="1394"/>
      <c r="AB6" s="1394"/>
      <c r="AC6" s="1394"/>
      <c r="AD6" s="1394"/>
      <c r="AE6" s="1394"/>
      <c r="AF6" s="1394"/>
      <c r="AG6" s="1394"/>
      <c r="AH6" s="1394"/>
      <c r="AI6" s="1394"/>
      <c r="AJ6" s="1394"/>
      <c r="AK6" s="1394"/>
      <c r="AL6" s="462"/>
    </row>
    <row r="7" spans="1:39" ht="2.85" customHeight="1">
      <c r="B7" s="1376"/>
      <c r="C7" s="1377"/>
      <c r="D7" s="1377"/>
      <c r="E7" s="1377"/>
      <c r="F7" s="1377"/>
      <c r="G7" s="1377"/>
      <c r="H7" s="1377"/>
      <c r="I7" s="1377"/>
      <c r="J7" s="1377"/>
      <c r="K7" s="1377"/>
      <c r="L7" s="1377"/>
      <c r="M7" s="1377"/>
      <c r="N7" s="1377"/>
      <c r="O7" s="1377"/>
      <c r="P7" s="1377"/>
      <c r="Q7" s="1377"/>
      <c r="R7" s="1377"/>
      <c r="S7" s="1377"/>
      <c r="T7" s="1377"/>
      <c r="U7" s="1377"/>
      <c r="V7" s="1377"/>
      <c r="W7" s="1377"/>
      <c r="X7" s="1377"/>
      <c r="Y7" s="1377"/>
      <c r="Z7" s="1377"/>
      <c r="AA7" s="1377"/>
      <c r="AB7" s="1377"/>
      <c r="AC7" s="1377"/>
      <c r="AD7" s="1377"/>
      <c r="AE7" s="1377"/>
      <c r="AF7" s="1377"/>
      <c r="AG7" s="1377"/>
      <c r="AH7" s="1377"/>
      <c r="AI7" s="1377"/>
      <c r="AJ7" s="1377"/>
      <c r="AK7" s="1377"/>
      <c r="AL7" s="1378"/>
    </row>
    <row r="8" spans="1:39" ht="2.85" customHeight="1">
      <c r="B8" s="1379"/>
      <c r="C8" s="1380"/>
      <c r="D8" s="1380"/>
      <c r="E8" s="1380"/>
      <c r="F8" s="1380"/>
      <c r="G8" s="1380"/>
      <c r="H8" s="1380"/>
      <c r="I8" s="1380"/>
      <c r="J8" s="1380"/>
      <c r="K8" s="1380"/>
      <c r="L8" s="1380"/>
      <c r="M8" s="1380"/>
      <c r="N8" s="1380"/>
      <c r="O8" s="1380"/>
      <c r="P8" s="1380"/>
      <c r="Q8" s="1380"/>
      <c r="R8" s="1380"/>
      <c r="S8" s="1380"/>
      <c r="T8" s="1380"/>
      <c r="U8" s="1380"/>
      <c r="V8" s="1380"/>
      <c r="W8" s="1380"/>
      <c r="X8" s="1380"/>
      <c r="Y8" s="1380"/>
      <c r="Z8" s="1380"/>
      <c r="AA8" s="1380"/>
      <c r="AB8" s="1380"/>
      <c r="AC8" s="1380"/>
      <c r="AD8" s="1380"/>
      <c r="AE8" s="1380"/>
      <c r="AF8" s="1380"/>
      <c r="AG8" s="1380"/>
      <c r="AH8" s="1380"/>
      <c r="AI8" s="1380"/>
      <c r="AJ8" s="1380"/>
      <c r="AK8" s="1380"/>
      <c r="AL8" s="1381"/>
    </row>
    <row r="9" spans="1:39" ht="12" customHeight="1">
      <c r="B9" s="1382" t="s">
        <v>1053</v>
      </c>
      <c r="C9" s="1383"/>
      <c r="D9" s="1383"/>
      <c r="E9" s="1383"/>
      <c r="F9" s="1383"/>
      <c r="G9" s="1383"/>
      <c r="H9" s="1383"/>
      <c r="I9" s="1384"/>
      <c r="J9" s="1384"/>
      <c r="K9" s="1384"/>
      <c r="L9" s="1384"/>
      <c r="M9" s="1384"/>
      <c r="N9" s="1384"/>
      <c r="O9" s="1384"/>
      <c r="P9" s="1384"/>
      <c r="Q9" s="1384"/>
      <c r="R9" s="1385" t="s">
        <v>1054</v>
      </c>
      <c r="S9" s="1385"/>
      <c r="T9" s="1385"/>
      <c r="U9" s="1385"/>
      <c r="V9" s="1385"/>
      <c r="W9" s="1386"/>
      <c r="X9" s="1386"/>
      <c r="Y9" s="1386"/>
      <c r="Z9" s="1386"/>
      <c r="AA9" s="1386"/>
      <c r="AB9" s="1386"/>
      <c r="AC9" s="1386"/>
      <c r="AD9" s="1386"/>
      <c r="AE9" s="1386"/>
      <c r="AF9" s="1386"/>
      <c r="AG9" s="1386"/>
      <c r="AH9" s="1386"/>
      <c r="AI9" s="1386"/>
      <c r="AJ9" s="1386"/>
      <c r="AK9" s="1386"/>
      <c r="AL9" s="462"/>
    </row>
    <row r="10" spans="1:39" ht="3" customHeight="1">
      <c r="B10" s="1376"/>
      <c r="C10" s="1377"/>
      <c r="D10" s="1377"/>
      <c r="E10" s="1377"/>
      <c r="F10" s="1377"/>
      <c r="G10" s="1377"/>
      <c r="H10" s="1377"/>
      <c r="I10" s="1377"/>
      <c r="J10" s="1377"/>
      <c r="K10" s="1377"/>
      <c r="L10" s="1377"/>
      <c r="M10" s="1377"/>
      <c r="N10" s="1377"/>
      <c r="O10" s="1377"/>
      <c r="P10" s="1377"/>
      <c r="Q10" s="1377"/>
      <c r="R10" s="1377"/>
      <c r="S10" s="1377"/>
      <c r="T10" s="1377"/>
      <c r="U10" s="1377"/>
      <c r="V10" s="1377"/>
      <c r="W10" s="1377"/>
      <c r="X10" s="1377"/>
      <c r="Y10" s="1377"/>
      <c r="Z10" s="1377"/>
      <c r="AA10" s="1377"/>
      <c r="AB10" s="1377"/>
      <c r="AC10" s="1377"/>
      <c r="AD10" s="1377"/>
      <c r="AE10" s="1377"/>
      <c r="AF10" s="1377"/>
      <c r="AG10" s="1377"/>
      <c r="AH10" s="1377"/>
      <c r="AI10" s="1377"/>
      <c r="AJ10" s="1377"/>
      <c r="AK10" s="1377"/>
      <c r="AL10" s="1378"/>
    </row>
    <row r="11" spans="1:39" ht="3" customHeight="1">
      <c r="B11" s="1379"/>
      <c r="C11" s="1380"/>
      <c r="D11" s="1380"/>
      <c r="E11" s="1380"/>
      <c r="F11" s="1380"/>
      <c r="G11" s="1380"/>
      <c r="H11" s="1380"/>
      <c r="I11" s="1380"/>
      <c r="J11" s="1380"/>
      <c r="K11" s="1380"/>
      <c r="L11" s="1380"/>
      <c r="M11" s="1380"/>
      <c r="N11" s="1380"/>
      <c r="O11" s="1380"/>
      <c r="P11" s="1380"/>
      <c r="Q11" s="1380"/>
      <c r="R11" s="1380"/>
      <c r="S11" s="1380"/>
      <c r="T11" s="1380"/>
      <c r="U11" s="1380"/>
      <c r="V11" s="1380"/>
      <c r="W11" s="1380"/>
      <c r="X11" s="1380"/>
      <c r="Y11" s="1380"/>
      <c r="Z11" s="1380"/>
      <c r="AA11" s="1380"/>
      <c r="AB11" s="1380"/>
      <c r="AC11" s="1380"/>
      <c r="AD11" s="1380"/>
      <c r="AE11" s="1380"/>
      <c r="AF11" s="1380"/>
      <c r="AG11" s="1380"/>
      <c r="AH11" s="1380"/>
      <c r="AI11" s="1380"/>
      <c r="AJ11" s="1380"/>
      <c r="AK11" s="1380"/>
      <c r="AL11" s="1381"/>
    </row>
    <row r="12" spans="1:39" ht="12" customHeight="1">
      <c r="B12" s="1382" t="s">
        <v>1055</v>
      </c>
      <c r="C12" s="1383"/>
      <c r="D12" s="1383"/>
      <c r="E12" s="1383"/>
      <c r="F12" s="1383"/>
      <c r="G12" s="1383"/>
      <c r="H12" s="1383"/>
      <c r="I12" s="1383"/>
      <c r="J12" s="1383"/>
      <c r="K12" s="1383"/>
      <c r="L12" s="1596"/>
      <c r="M12" s="1596"/>
      <c r="N12" s="1596"/>
      <c r="O12" s="1385" t="s">
        <v>209</v>
      </c>
      <c r="P12" s="1385"/>
      <c r="Q12" s="1597" t="str">
        <f>IF('Project Information'!AI9="","",'Project Information'!AI9)</f>
        <v/>
      </c>
      <c r="R12" s="1597"/>
      <c r="S12" s="1385" t="s">
        <v>1058</v>
      </c>
      <c r="T12" s="1385"/>
      <c r="U12" s="1385"/>
      <c r="V12" s="1385"/>
      <c r="W12" s="1385"/>
      <c r="X12" s="1385"/>
      <c r="Y12" s="1384"/>
      <c r="Z12" s="1384"/>
      <c r="AA12" s="1385" t="s">
        <v>1056</v>
      </c>
      <c r="AB12" s="1385"/>
      <c r="AC12" s="1385"/>
      <c r="AD12" s="1385"/>
      <c r="AE12" s="1385"/>
      <c r="AF12" s="1385"/>
      <c r="AG12" s="1385"/>
      <c r="AH12" s="1385"/>
      <c r="AI12" s="1385"/>
      <c r="AJ12" s="1394" t="str">
        <f>IF('Work Scope'!Q91="","",'Work Scope'!Q91)</f>
        <v/>
      </c>
      <c r="AK12" s="1394"/>
      <c r="AL12" s="462"/>
      <c r="AM12" s="1"/>
    </row>
    <row r="13" spans="1:39" ht="3" customHeight="1" thickBot="1">
      <c r="B13" s="1606"/>
      <c r="C13" s="1607"/>
      <c r="D13" s="1607"/>
      <c r="E13" s="1607"/>
      <c r="F13" s="1607"/>
      <c r="G13" s="1607"/>
      <c r="H13" s="1607"/>
      <c r="I13" s="1607"/>
      <c r="J13" s="1607"/>
      <c r="K13" s="1607"/>
      <c r="L13" s="1607"/>
      <c r="M13" s="1607"/>
      <c r="N13" s="1607"/>
      <c r="O13" s="1607"/>
      <c r="P13" s="1607"/>
      <c r="Q13" s="1607"/>
      <c r="R13" s="1607"/>
      <c r="S13" s="1607"/>
      <c r="T13" s="1607"/>
      <c r="U13" s="1607"/>
      <c r="V13" s="1607"/>
      <c r="W13" s="1607"/>
      <c r="X13" s="1607"/>
      <c r="Y13" s="1607"/>
      <c r="Z13" s="1607"/>
      <c r="AA13" s="1607"/>
      <c r="AB13" s="1607"/>
      <c r="AC13" s="1607"/>
      <c r="AD13" s="1607"/>
      <c r="AE13" s="1607"/>
      <c r="AF13" s="1607"/>
      <c r="AG13" s="1607"/>
      <c r="AH13" s="1607"/>
      <c r="AI13" s="1607"/>
      <c r="AJ13" s="1607"/>
      <c r="AK13" s="1607"/>
      <c r="AL13" s="1608"/>
      <c r="AM13" s="1"/>
    </row>
    <row r="14" spans="1:39" ht="3.6" customHeight="1" thickBot="1">
      <c r="B14" s="1412"/>
      <c r="C14" s="1412"/>
      <c r="D14" s="1412"/>
      <c r="E14" s="1412"/>
      <c r="F14" s="1412"/>
      <c r="G14" s="1412"/>
      <c r="H14" s="1412"/>
      <c r="I14" s="1412"/>
      <c r="J14" s="1412"/>
      <c r="K14" s="1412"/>
      <c r="L14" s="1412"/>
      <c r="M14" s="1412"/>
      <c r="N14" s="1412"/>
      <c r="O14" s="1412"/>
      <c r="P14" s="1412"/>
      <c r="Q14" s="1412"/>
      <c r="R14" s="1412"/>
      <c r="S14" s="1412"/>
      <c r="T14" s="1412"/>
      <c r="U14" s="1412"/>
      <c r="V14" s="1412"/>
      <c r="W14" s="1412"/>
      <c r="X14" s="1412"/>
      <c r="Y14" s="1412"/>
      <c r="Z14" s="1412"/>
      <c r="AA14" s="1412"/>
      <c r="AB14" s="1412"/>
      <c r="AC14" s="1412"/>
      <c r="AD14" s="1412"/>
      <c r="AE14" s="1412"/>
      <c r="AF14" s="1412"/>
      <c r="AG14" s="1412"/>
      <c r="AH14" s="1412"/>
      <c r="AI14" s="1412"/>
      <c r="AJ14" s="1412"/>
      <c r="AK14" s="1412"/>
      <c r="AL14" s="1412"/>
    </row>
    <row r="15" spans="1:39" ht="3" customHeight="1">
      <c r="B15" s="644"/>
      <c r="C15" s="645"/>
      <c r="D15" s="645"/>
      <c r="E15" s="645"/>
      <c r="F15" s="645"/>
      <c r="G15" s="645"/>
      <c r="H15" s="645"/>
      <c r="I15" s="645"/>
      <c r="J15" s="645"/>
      <c r="K15" s="645"/>
      <c r="L15" s="645"/>
      <c r="M15" s="645"/>
      <c r="N15" s="645"/>
      <c r="O15" s="645"/>
      <c r="P15" s="645"/>
      <c r="Q15" s="645"/>
      <c r="R15" s="645"/>
      <c r="S15" s="645"/>
      <c r="T15" s="645"/>
      <c r="U15" s="645"/>
      <c r="V15" s="645"/>
      <c r="W15" s="645"/>
      <c r="X15" s="645"/>
      <c r="Y15" s="645"/>
      <c r="Z15" s="645"/>
      <c r="AA15" s="645"/>
      <c r="AB15" s="645"/>
      <c r="AC15" s="645"/>
      <c r="AD15" s="645"/>
      <c r="AE15" s="645"/>
      <c r="AF15" s="645"/>
      <c r="AG15" s="645"/>
      <c r="AH15" s="645"/>
      <c r="AI15" s="645"/>
      <c r="AJ15" s="645"/>
      <c r="AK15" s="645"/>
      <c r="AL15" s="646"/>
    </row>
    <row r="16" spans="1:39" ht="15.6" customHeight="1">
      <c r="A16" s="426"/>
      <c r="B16" s="1395" t="s">
        <v>964</v>
      </c>
      <c r="C16" s="1396"/>
      <c r="D16" s="1396"/>
      <c r="E16" s="1396"/>
      <c r="F16" s="1396"/>
      <c r="G16" s="1396"/>
      <c r="H16" s="1396"/>
      <c r="I16" s="1396"/>
      <c r="J16" s="1396"/>
      <c r="K16" s="1396"/>
      <c r="L16" s="1396"/>
      <c r="M16" s="1396"/>
      <c r="N16" s="1396"/>
      <c r="O16" s="1396"/>
      <c r="P16" s="1396"/>
      <c r="Q16" s="1396"/>
      <c r="R16" s="1396"/>
      <c r="S16" s="1396"/>
      <c r="T16" s="1396"/>
      <c r="U16" s="1396"/>
      <c r="V16" s="1396"/>
      <c r="W16" s="1396"/>
      <c r="X16" s="1396"/>
      <c r="Y16" s="1396"/>
      <c r="Z16" s="1396"/>
      <c r="AA16" s="1396"/>
      <c r="AB16" s="1396"/>
      <c r="AC16" s="1397" t="s">
        <v>1057</v>
      </c>
      <c r="AD16" s="1397"/>
      <c r="AE16" s="1397"/>
      <c r="AF16" s="1397"/>
      <c r="AG16" s="1397"/>
      <c r="AH16" s="1398"/>
      <c r="AI16" s="1398"/>
      <c r="AJ16" s="1398"/>
      <c r="AK16" s="1398"/>
      <c r="AL16" s="463"/>
    </row>
    <row r="17" spans="2:38" ht="3" customHeight="1">
      <c r="B17" s="1598"/>
      <c r="C17" s="1599"/>
      <c r="D17" s="1599"/>
      <c r="E17" s="1599"/>
      <c r="F17" s="1599"/>
      <c r="G17" s="1599"/>
      <c r="H17" s="1599"/>
      <c r="I17" s="1599"/>
      <c r="J17" s="1599"/>
      <c r="K17" s="1599"/>
      <c r="L17" s="1599"/>
      <c r="M17" s="1599"/>
      <c r="N17" s="1599"/>
      <c r="O17" s="1599"/>
      <c r="P17" s="1599"/>
      <c r="Q17" s="1599"/>
      <c r="R17" s="1599"/>
      <c r="S17" s="1599"/>
      <c r="T17" s="1599"/>
      <c r="U17" s="1599"/>
      <c r="V17" s="1599"/>
      <c r="W17" s="1599"/>
      <c r="X17" s="1599"/>
      <c r="Y17" s="1599"/>
      <c r="Z17" s="1599"/>
      <c r="AA17" s="1599"/>
      <c r="AB17" s="1599"/>
      <c r="AC17" s="1599"/>
      <c r="AD17" s="1599"/>
      <c r="AE17" s="1599"/>
      <c r="AF17" s="1599"/>
      <c r="AG17" s="1599"/>
      <c r="AH17" s="1599"/>
      <c r="AI17" s="1599"/>
      <c r="AJ17" s="1599"/>
      <c r="AK17" s="1599"/>
      <c r="AL17" s="1600"/>
    </row>
    <row r="18" spans="2:38" ht="15" customHeight="1">
      <c r="B18" s="1602" t="s">
        <v>965</v>
      </c>
      <c r="C18" s="1603"/>
      <c r="D18" s="1603"/>
      <c r="E18" s="1603"/>
      <c r="F18" s="1603"/>
      <c r="G18" s="1603"/>
      <c r="H18" s="1603"/>
      <c r="I18" s="1603"/>
      <c r="J18" s="1603"/>
      <c r="K18" s="1603"/>
      <c r="L18" s="1603"/>
      <c r="M18" s="1603"/>
      <c r="N18" s="1603"/>
      <c r="O18" s="1603"/>
      <c r="P18" s="1603"/>
      <c r="Q18" s="1603"/>
      <c r="R18" s="1603"/>
      <c r="S18" s="1603"/>
      <c r="T18" s="1603"/>
      <c r="U18" s="1603"/>
      <c r="V18" s="1603"/>
      <c r="W18" s="1603"/>
      <c r="X18" s="1603"/>
      <c r="Y18" s="1603"/>
      <c r="Z18" s="1603"/>
      <c r="AA18" s="1603"/>
      <c r="AB18" s="1603"/>
      <c r="AC18" s="1603"/>
      <c r="AD18" s="1603"/>
      <c r="AE18" s="1603"/>
      <c r="AF18" s="1603"/>
      <c r="AG18" s="1603"/>
      <c r="AH18" s="1603"/>
      <c r="AI18" s="1603"/>
      <c r="AJ18" s="1603"/>
      <c r="AK18" s="1603"/>
      <c r="AL18" s="1604"/>
    </row>
    <row r="19" spans="2:38" ht="3" customHeight="1">
      <c r="B19" s="1390"/>
      <c r="C19" s="1457"/>
      <c r="D19" s="1457"/>
      <c r="E19" s="1457"/>
      <c r="F19" s="1457"/>
      <c r="G19" s="1457"/>
      <c r="H19" s="1457"/>
      <c r="I19" s="1457"/>
      <c r="J19" s="1457"/>
      <c r="K19" s="1457"/>
      <c r="L19" s="1457"/>
      <c r="M19" s="1457"/>
      <c r="N19" s="1457"/>
      <c r="O19" s="1457"/>
      <c r="P19" s="1457"/>
      <c r="Q19" s="1457"/>
      <c r="R19" s="1457"/>
      <c r="S19" s="1457"/>
      <c r="T19" s="1392"/>
      <c r="U19" s="1390"/>
      <c r="V19" s="1391"/>
      <c r="W19" s="1391"/>
      <c r="X19" s="1391"/>
      <c r="Y19" s="1391"/>
      <c r="Z19" s="1391"/>
      <c r="AA19" s="1391"/>
      <c r="AB19" s="1391"/>
      <c r="AC19" s="1391"/>
      <c r="AD19" s="1391"/>
      <c r="AE19" s="1391"/>
      <c r="AF19" s="1391"/>
      <c r="AG19" s="1391"/>
      <c r="AH19" s="1391"/>
      <c r="AI19" s="1391"/>
      <c r="AJ19" s="1391"/>
      <c r="AK19" s="1391"/>
      <c r="AL19" s="1392"/>
    </row>
    <row r="20" spans="2:38" ht="15" customHeight="1">
      <c r="B20" s="1458" t="s">
        <v>966</v>
      </c>
      <c r="C20" s="1385"/>
      <c r="D20" s="1385"/>
      <c r="E20" s="1385"/>
      <c r="F20" s="1385"/>
      <c r="G20" s="1385"/>
      <c r="H20" s="1385"/>
      <c r="I20" s="1385"/>
      <c r="J20" s="1385"/>
      <c r="K20" s="1385"/>
      <c r="L20" s="1385"/>
      <c r="M20" s="1385"/>
      <c r="N20" s="1385"/>
      <c r="O20" s="1385"/>
      <c r="P20" s="1385"/>
      <c r="Q20" s="467"/>
      <c r="R20" s="1595"/>
      <c r="S20" s="1444"/>
      <c r="T20" s="462"/>
      <c r="U20" s="1394" t="s">
        <v>967</v>
      </c>
      <c r="V20" s="1394"/>
      <c r="W20" s="1394"/>
      <c r="X20" s="1394"/>
      <c r="Y20" s="1394"/>
      <c r="Z20" s="1394"/>
      <c r="AA20" s="1394"/>
      <c r="AB20" s="1394"/>
      <c r="AC20" s="1394"/>
      <c r="AD20" s="1394"/>
      <c r="AE20" s="1394"/>
      <c r="AF20" s="1394"/>
      <c r="AG20" s="1394"/>
      <c r="AH20" s="1394"/>
      <c r="AI20" s="1394"/>
      <c r="AJ20" s="1394"/>
      <c r="AK20" s="1394"/>
      <c r="AL20" s="1461"/>
    </row>
    <row r="21" spans="2:38" ht="3" customHeight="1">
      <c r="B21" s="468"/>
      <c r="C21" s="416"/>
      <c r="D21" s="416"/>
      <c r="E21" s="416"/>
      <c r="F21" s="416"/>
      <c r="G21" s="416"/>
      <c r="H21" s="416"/>
      <c r="I21" s="416"/>
      <c r="J21" s="416"/>
      <c r="K21" s="416"/>
      <c r="L21" s="416"/>
      <c r="M21" s="416"/>
      <c r="N21" s="416"/>
      <c r="O21" s="469"/>
      <c r="P21" s="469"/>
      <c r="Q21" s="469"/>
      <c r="R21" s="469"/>
      <c r="S21" s="469"/>
      <c r="T21" s="462"/>
      <c r="U21" s="469"/>
      <c r="V21" s="469"/>
      <c r="W21" s="469"/>
      <c r="X21" s="469"/>
      <c r="Y21" s="469"/>
      <c r="Z21" s="469"/>
      <c r="AA21" s="469"/>
      <c r="AB21" s="469"/>
      <c r="AC21" s="469"/>
      <c r="AD21" s="469"/>
      <c r="AE21" s="469"/>
      <c r="AF21" s="469"/>
      <c r="AG21" s="469"/>
      <c r="AH21" s="469"/>
      <c r="AI21" s="469"/>
      <c r="AJ21" s="469"/>
      <c r="AK21" s="469"/>
      <c r="AL21" s="462"/>
    </row>
    <row r="22" spans="2:38">
      <c r="B22" s="1458" t="s">
        <v>968</v>
      </c>
      <c r="C22" s="1385"/>
      <c r="D22" s="1385"/>
      <c r="E22" s="1385"/>
      <c r="F22" s="1385"/>
      <c r="G22" s="1385"/>
      <c r="H22" s="1605"/>
      <c r="I22" s="1605"/>
      <c r="J22" s="1385" t="s">
        <v>969</v>
      </c>
      <c r="K22" s="1385"/>
      <c r="L22" s="1385"/>
      <c r="M22" s="1385"/>
      <c r="N22" s="1385"/>
      <c r="O22" s="1385"/>
      <c r="P22" s="1385"/>
      <c r="Q22" s="1465"/>
      <c r="R22" s="1414"/>
      <c r="S22" s="1415"/>
      <c r="T22" s="462"/>
      <c r="U22" s="1458" t="s">
        <v>970</v>
      </c>
      <c r="V22" s="1385"/>
      <c r="W22" s="1385"/>
      <c r="X22" s="1385"/>
      <c r="Y22" s="1385"/>
      <c r="Z22" s="1385"/>
      <c r="AA22" s="1385"/>
      <c r="AB22" s="1385"/>
      <c r="AC22" s="1385"/>
      <c r="AD22" s="1385"/>
      <c r="AE22" s="1385"/>
      <c r="AF22" s="1385"/>
      <c r="AG22" s="1385"/>
      <c r="AH22" s="1385"/>
      <c r="AI22" s="1385"/>
      <c r="AJ22" s="1414"/>
      <c r="AK22" s="1415"/>
      <c r="AL22" s="470"/>
    </row>
    <row r="23" spans="2:38" ht="3" customHeight="1">
      <c r="B23" s="471"/>
      <c r="C23" s="472"/>
      <c r="D23" s="472"/>
      <c r="E23" s="472"/>
      <c r="F23" s="472"/>
      <c r="G23" s="472"/>
      <c r="H23" s="472"/>
      <c r="I23" s="472"/>
      <c r="J23" s="469"/>
      <c r="K23" s="469"/>
      <c r="L23" s="469"/>
      <c r="M23" s="469"/>
      <c r="N23" s="469"/>
      <c r="O23" s="469"/>
      <c r="P23" s="469"/>
      <c r="Q23" s="469"/>
      <c r="R23" s="469"/>
      <c r="S23" s="469"/>
      <c r="T23" s="462"/>
      <c r="U23" s="469"/>
      <c r="V23" s="469"/>
      <c r="W23" s="469"/>
      <c r="X23" s="469"/>
      <c r="Y23" s="469"/>
      <c r="Z23" s="469"/>
      <c r="AA23" s="469"/>
      <c r="AB23" s="469"/>
      <c r="AC23" s="469"/>
      <c r="AD23" s="469"/>
      <c r="AE23" s="469"/>
      <c r="AF23" s="469"/>
      <c r="AG23" s="469"/>
      <c r="AH23" s="469"/>
      <c r="AI23" s="469"/>
      <c r="AJ23" s="469"/>
      <c r="AK23" s="469"/>
      <c r="AL23" s="462"/>
    </row>
    <row r="24" spans="2:38">
      <c r="B24" s="1458" t="s">
        <v>971</v>
      </c>
      <c r="C24" s="1459"/>
      <c r="D24" s="1459"/>
      <c r="E24" s="1459"/>
      <c r="F24" s="1459"/>
      <c r="G24" s="1459"/>
      <c r="H24" s="1459"/>
      <c r="I24" s="1459"/>
      <c r="J24" s="1459"/>
      <c r="K24" s="1459"/>
      <c r="L24" s="1459"/>
      <c r="M24" s="1459"/>
      <c r="N24" s="1459"/>
      <c r="O24" s="1459"/>
      <c r="P24" s="1459"/>
      <c r="Q24" s="469"/>
      <c r="R24" s="1443"/>
      <c r="S24" s="1444"/>
      <c r="T24" s="462"/>
      <c r="U24" s="1385" t="s">
        <v>972</v>
      </c>
      <c r="V24" s="1385"/>
      <c r="W24" s="1385"/>
      <c r="X24" s="1385"/>
      <c r="Y24" s="1385"/>
      <c r="Z24" s="1443"/>
      <c r="AA24" s="1444"/>
      <c r="AB24" s="1601" t="s">
        <v>1074</v>
      </c>
      <c r="AC24" s="1412"/>
      <c r="AD24" s="1412"/>
      <c r="AE24" s="1412"/>
      <c r="AF24" s="1412"/>
      <c r="AG24" s="1412"/>
      <c r="AH24" s="1412"/>
      <c r="AI24" s="1412"/>
      <c r="AJ24" s="1443"/>
      <c r="AK24" s="1444"/>
      <c r="AL24" s="470"/>
    </row>
    <row r="25" spans="2:38" ht="3" customHeight="1">
      <c r="B25" s="471"/>
      <c r="C25" s="472"/>
      <c r="D25" s="472"/>
      <c r="E25" s="472"/>
      <c r="F25" s="472"/>
      <c r="G25" s="472"/>
      <c r="H25" s="472"/>
      <c r="I25" s="472"/>
      <c r="J25" s="472"/>
      <c r="K25" s="472"/>
      <c r="L25" s="472"/>
      <c r="M25" s="472"/>
      <c r="N25" s="472"/>
      <c r="O25" s="472"/>
      <c r="P25" s="472"/>
      <c r="Q25" s="472"/>
      <c r="R25" s="472"/>
      <c r="S25" s="469"/>
      <c r="T25" s="462"/>
      <c r="U25" s="469"/>
      <c r="V25" s="469"/>
      <c r="W25" s="469"/>
      <c r="X25" s="469"/>
      <c r="Y25" s="469"/>
      <c r="Z25" s="416"/>
      <c r="AA25" s="416"/>
      <c r="AB25" s="469"/>
      <c r="AC25" s="469"/>
      <c r="AD25" s="469"/>
      <c r="AE25" s="469"/>
      <c r="AF25" s="469"/>
      <c r="AG25" s="469"/>
      <c r="AH25" s="469"/>
      <c r="AI25" s="469"/>
      <c r="AJ25" s="469"/>
      <c r="AK25" s="416"/>
      <c r="AL25" s="473"/>
    </row>
    <row r="26" spans="2:38">
      <c r="B26" s="1458" t="s">
        <v>1075</v>
      </c>
      <c r="C26" s="1385"/>
      <c r="D26" s="1385"/>
      <c r="E26" s="1385"/>
      <c r="F26" s="1385"/>
      <c r="G26" s="1385"/>
      <c r="H26" s="1443"/>
      <c r="I26" s="1444"/>
      <c r="J26" s="1627" t="s">
        <v>973</v>
      </c>
      <c r="K26" s="1628"/>
      <c r="L26" s="1628"/>
      <c r="M26" s="1628"/>
      <c r="N26" s="1628"/>
      <c r="O26" s="1628"/>
      <c r="P26" s="1628"/>
      <c r="Q26" s="1628"/>
      <c r="R26" s="1443"/>
      <c r="S26" s="1444"/>
      <c r="T26" s="462"/>
      <c r="U26" s="1394" t="s">
        <v>974</v>
      </c>
      <c r="V26" s="1394"/>
      <c r="W26" s="1394"/>
      <c r="X26" s="1394"/>
      <c r="Y26" s="1394"/>
      <c r="Z26" s="1394"/>
      <c r="AA26" s="1394"/>
      <c r="AB26" s="1394"/>
      <c r="AC26" s="1394"/>
      <c r="AD26" s="1394"/>
      <c r="AE26" s="1394"/>
      <c r="AF26" s="1394"/>
      <c r="AG26" s="1394"/>
      <c r="AH26" s="1394"/>
      <c r="AI26" s="1394"/>
      <c r="AJ26" s="1394"/>
      <c r="AK26" s="1394"/>
      <c r="AL26" s="1461"/>
    </row>
    <row r="27" spans="2:38" ht="3" customHeight="1">
      <c r="B27" s="474"/>
      <c r="C27" s="475"/>
      <c r="D27" s="475"/>
      <c r="E27" s="475"/>
      <c r="F27" s="475"/>
      <c r="G27" s="475"/>
      <c r="H27" s="416"/>
      <c r="I27" s="416"/>
      <c r="J27" s="469"/>
      <c r="K27" s="469"/>
      <c r="L27" s="469"/>
      <c r="M27" s="469"/>
      <c r="N27" s="469"/>
      <c r="O27" s="469"/>
      <c r="P27" s="469"/>
      <c r="Q27" s="469"/>
      <c r="R27" s="469"/>
      <c r="S27" s="469"/>
      <c r="T27" s="462"/>
      <c r="U27" s="476"/>
      <c r="V27" s="476"/>
      <c r="W27" s="476"/>
      <c r="X27" s="476"/>
      <c r="Y27" s="476"/>
      <c r="Z27" s="476"/>
      <c r="AA27" s="476"/>
      <c r="AB27" s="476"/>
      <c r="AC27" s="476"/>
      <c r="AD27" s="476"/>
      <c r="AE27" s="476"/>
      <c r="AF27" s="476"/>
      <c r="AG27" s="476"/>
      <c r="AH27" s="476"/>
      <c r="AI27" s="476"/>
      <c r="AJ27" s="476"/>
      <c r="AK27" s="476"/>
      <c r="AL27" s="477"/>
    </row>
    <row r="28" spans="2:38">
      <c r="B28" s="1458" t="s">
        <v>1046</v>
      </c>
      <c r="C28" s="1459"/>
      <c r="D28" s="1459"/>
      <c r="E28" s="1459"/>
      <c r="F28" s="1459"/>
      <c r="G28" s="1459"/>
      <c r="H28" s="1459"/>
      <c r="I28" s="1459"/>
      <c r="J28" s="1459"/>
      <c r="K28" s="1459"/>
      <c r="L28" s="1459"/>
      <c r="M28" s="1459"/>
      <c r="N28" s="1459"/>
      <c r="O28" s="1459"/>
      <c r="P28" s="1459"/>
      <c r="Q28" s="467"/>
      <c r="R28" s="1595"/>
      <c r="S28" s="1444"/>
      <c r="T28" s="462"/>
      <c r="U28" s="1385" t="s">
        <v>975</v>
      </c>
      <c r="V28" s="1385"/>
      <c r="W28" s="1385"/>
      <c r="X28" s="1385"/>
      <c r="Y28" s="1385"/>
      <c r="Z28" s="1385"/>
      <c r="AA28" s="1443"/>
      <c r="AB28" s="1444"/>
      <c r="AC28" s="1609" t="s">
        <v>976</v>
      </c>
      <c r="AD28" s="1459"/>
      <c r="AE28" s="1459"/>
      <c r="AF28" s="1459"/>
      <c r="AG28" s="1459"/>
      <c r="AH28" s="1459"/>
      <c r="AI28" s="1459"/>
      <c r="AJ28" s="1414"/>
      <c r="AK28" s="1415"/>
      <c r="AL28" s="470"/>
    </row>
    <row r="29" spans="2:38" ht="3" customHeight="1">
      <c r="B29" s="471"/>
      <c r="C29" s="472"/>
      <c r="D29" s="472"/>
      <c r="E29" s="472"/>
      <c r="F29" s="472"/>
      <c r="G29" s="472"/>
      <c r="H29" s="472"/>
      <c r="I29" s="472"/>
      <c r="J29" s="472"/>
      <c r="K29" s="472"/>
      <c r="L29" s="472"/>
      <c r="M29" s="469"/>
      <c r="N29" s="469"/>
      <c r="O29" s="469"/>
      <c r="P29" s="469"/>
      <c r="Q29" s="469"/>
      <c r="R29" s="469"/>
      <c r="S29" s="469"/>
      <c r="T29" s="462"/>
      <c r="U29" s="475"/>
      <c r="V29" s="475"/>
      <c r="W29" s="475"/>
      <c r="X29" s="475"/>
      <c r="Y29" s="475"/>
      <c r="Z29" s="475"/>
      <c r="AA29" s="469"/>
      <c r="AB29" s="469"/>
      <c r="AC29" s="469"/>
      <c r="AD29" s="475"/>
      <c r="AE29" s="475"/>
      <c r="AF29" s="475"/>
      <c r="AG29" s="475"/>
      <c r="AH29" s="475"/>
      <c r="AI29" s="475"/>
      <c r="AJ29" s="475"/>
      <c r="AK29" s="469"/>
      <c r="AL29" s="462"/>
    </row>
    <row r="30" spans="2:38">
      <c r="B30" s="1454" t="s">
        <v>1060</v>
      </c>
      <c r="C30" s="1455"/>
      <c r="D30" s="1455"/>
      <c r="E30" s="1455"/>
      <c r="F30" s="1455"/>
      <c r="G30" s="1455"/>
      <c r="H30" s="1455"/>
      <c r="I30" s="1455"/>
      <c r="J30" s="1455"/>
      <c r="K30" s="1455"/>
      <c r="L30" s="1455"/>
      <c r="M30" s="1455"/>
      <c r="N30" s="1455"/>
      <c r="O30" s="1455"/>
      <c r="P30" s="1455"/>
      <c r="Q30" s="469"/>
      <c r="R30" s="469"/>
      <c r="S30" s="469"/>
      <c r="T30" s="462"/>
      <c r="U30" s="1385" t="s">
        <v>977</v>
      </c>
      <c r="V30" s="1385"/>
      <c r="W30" s="1385"/>
      <c r="X30" s="1385"/>
      <c r="Y30" s="1385"/>
      <c r="Z30" s="1385"/>
      <c r="AA30" s="1443"/>
      <c r="AB30" s="1444"/>
      <c r="AC30" s="1609" t="s">
        <v>978</v>
      </c>
      <c r="AD30" s="1385"/>
      <c r="AE30" s="1385"/>
      <c r="AF30" s="1385"/>
      <c r="AG30" s="1385"/>
      <c r="AH30" s="1385"/>
      <c r="AI30" s="1385"/>
      <c r="AJ30" s="1414"/>
      <c r="AK30" s="1415"/>
      <c r="AL30" s="470"/>
    </row>
    <row r="31" spans="2:38" ht="3" customHeight="1">
      <c r="B31" s="1454"/>
      <c r="C31" s="1455"/>
      <c r="D31" s="1455"/>
      <c r="E31" s="1455"/>
      <c r="F31" s="1455"/>
      <c r="G31" s="1455"/>
      <c r="H31" s="1455"/>
      <c r="I31" s="1455"/>
      <c r="J31" s="1455"/>
      <c r="K31" s="1455"/>
      <c r="L31" s="1455"/>
      <c r="M31" s="1455"/>
      <c r="N31" s="1455"/>
      <c r="O31" s="1455"/>
      <c r="P31" s="1455"/>
      <c r="Q31" s="469"/>
      <c r="R31" s="469"/>
      <c r="S31" s="469"/>
      <c r="T31" s="462"/>
      <c r="U31" s="469"/>
      <c r="V31" s="469"/>
      <c r="W31" s="475"/>
      <c r="X31" s="475"/>
      <c r="Y31" s="475"/>
      <c r="Z31" s="475"/>
      <c r="AA31" s="469"/>
      <c r="AB31" s="469"/>
      <c r="AC31" s="469"/>
      <c r="AD31" s="469"/>
      <c r="AE31" s="469"/>
      <c r="AF31" s="475"/>
      <c r="AG31" s="475"/>
      <c r="AH31" s="475"/>
      <c r="AI31" s="475"/>
      <c r="AJ31" s="475"/>
      <c r="AK31" s="469"/>
      <c r="AL31" s="462"/>
    </row>
    <row r="32" spans="2:38">
      <c r="B32" s="1454"/>
      <c r="C32" s="1455"/>
      <c r="D32" s="1455"/>
      <c r="E32" s="1455"/>
      <c r="F32" s="1455"/>
      <c r="G32" s="1455"/>
      <c r="H32" s="1455"/>
      <c r="I32" s="1455"/>
      <c r="J32" s="1455"/>
      <c r="K32" s="1455"/>
      <c r="L32" s="1455"/>
      <c r="M32" s="1455"/>
      <c r="N32" s="1455"/>
      <c r="O32" s="1455"/>
      <c r="P32" s="1455"/>
      <c r="Q32" s="467"/>
      <c r="R32" s="1595"/>
      <c r="S32" s="1444"/>
      <c r="T32" s="462"/>
      <c r="U32" s="1411" t="s">
        <v>979</v>
      </c>
      <c r="V32" s="1412"/>
      <c r="W32" s="1412"/>
      <c r="X32" s="1412"/>
      <c r="Y32" s="1412"/>
      <c r="Z32" s="1412"/>
      <c r="AA32" s="1412"/>
      <c r="AB32" s="1412"/>
      <c r="AC32" s="1413" t="s">
        <v>980</v>
      </c>
      <c r="AD32" s="1413"/>
      <c r="AE32" s="1413"/>
      <c r="AF32" s="1413"/>
      <c r="AG32" s="1385" t="s">
        <v>981</v>
      </c>
      <c r="AH32" s="1385"/>
      <c r="AI32" s="1385"/>
      <c r="AJ32" s="1414"/>
      <c r="AK32" s="1415"/>
      <c r="AL32" s="470"/>
    </row>
    <row r="33" spans="2:52" ht="3" customHeight="1">
      <c r="B33" s="464"/>
      <c r="C33" s="465"/>
      <c r="D33" s="465"/>
      <c r="E33" s="465"/>
      <c r="F33" s="465"/>
      <c r="G33" s="465"/>
      <c r="H33" s="465"/>
      <c r="I33" s="465"/>
      <c r="J33" s="465"/>
      <c r="K33" s="465"/>
      <c r="L33" s="465"/>
      <c r="M33" s="465"/>
      <c r="N33" s="465"/>
      <c r="O33" s="465"/>
      <c r="P33" s="465"/>
      <c r="Q33" s="465"/>
      <c r="R33" s="465"/>
      <c r="S33" s="465"/>
      <c r="T33" s="478"/>
      <c r="U33" s="465"/>
      <c r="V33" s="465"/>
      <c r="W33" s="465"/>
      <c r="X33" s="465"/>
      <c r="Y33" s="465"/>
      <c r="Z33" s="465"/>
      <c r="AA33" s="465"/>
      <c r="AB33" s="465"/>
      <c r="AC33" s="465"/>
      <c r="AD33" s="465"/>
      <c r="AE33" s="465"/>
      <c r="AF33" s="465"/>
      <c r="AG33" s="465"/>
      <c r="AH33" s="465"/>
      <c r="AI33" s="465"/>
      <c r="AJ33" s="465"/>
      <c r="AK33" s="465"/>
      <c r="AL33" s="466"/>
    </row>
    <row r="34" spans="2:52" ht="10.95" customHeight="1">
      <c r="B34" s="1419" t="s">
        <v>1047</v>
      </c>
      <c r="C34" s="1420"/>
      <c r="D34" s="1420"/>
      <c r="E34" s="1420"/>
      <c r="F34" s="1420"/>
      <c r="G34" s="1420"/>
      <c r="H34" s="1420"/>
      <c r="I34" s="1420"/>
      <c r="J34" s="1420"/>
      <c r="K34" s="1420"/>
      <c r="L34" s="1420"/>
      <c r="M34" s="1420"/>
      <c r="N34" s="1420"/>
      <c r="O34" s="1420"/>
      <c r="P34" s="1420"/>
      <c r="Q34" s="1420"/>
      <c r="R34" s="1420"/>
      <c r="S34" s="1420"/>
      <c r="T34" s="1421"/>
      <c r="U34" s="1420" t="s">
        <v>1049</v>
      </c>
      <c r="V34" s="1420"/>
      <c r="W34" s="1420"/>
      <c r="X34" s="1420"/>
      <c r="Y34" s="1420"/>
      <c r="Z34" s="1420"/>
      <c r="AA34" s="1420"/>
      <c r="AB34" s="1420"/>
      <c r="AC34" s="1420"/>
      <c r="AD34" s="1420"/>
      <c r="AE34" s="1420"/>
      <c r="AF34" s="1420"/>
      <c r="AG34" s="1420"/>
      <c r="AH34" s="1420"/>
      <c r="AI34" s="1420"/>
      <c r="AJ34" s="1420"/>
      <c r="AK34" s="1420"/>
      <c r="AL34" s="1421"/>
    </row>
    <row r="35" spans="2:52" ht="10.95" customHeight="1">
      <c r="B35" s="1416" t="s">
        <v>1048</v>
      </c>
      <c r="C35" s="1417"/>
      <c r="D35" s="1417"/>
      <c r="E35" s="1417"/>
      <c r="F35" s="1417"/>
      <c r="G35" s="1417"/>
      <c r="H35" s="1417"/>
      <c r="I35" s="1417"/>
      <c r="J35" s="1417"/>
      <c r="K35" s="1417"/>
      <c r="L35" s="1417"/>
      <c r="M35" s="1417"/>
      <c r="N35" s="1417"/>
      <c r="O35" s="1417"/>
      <c r="P35" s="1417"/>
      <c r="Q35" s="1417"/>
      <c r="R35" s="1417"/>
      <c r="S35" s="1417"/>
      <c r="T35" s="1418"/>
      <c r="U35" s="1416" t="s">
        <v>1050</v>
      </c>
      <c r="V35" s="1417"/>
      <c r="W35" s="1417"/>
      <c r="X35" s="1417"/>
      <c r="Y35" s="1417"/>
      <c r="Z35" s="1417"/>
      <c r="AA35" s="1417"/>
      <c r="AB35" s="1417"/>
      <c r="AC35" s="1417"/>
      <c r="AD35" s="1417"/>
      <c r="AE35" s="1417"/>
      <c r="AF35" s="1417"/>
      <c r="AG35" s="1417"/>
      <c r="AH35" s="1417"/>
      <c r="AI35" s="1417"/>
      <c r="AJ35" s="1417"/>
      <c r="AK35" s="1417"/>
      <c r="AL35" s="1418"/>
    </row>
    <row r="36" spans="2:52" ht="10.95" customHeight="1">
      <c r="B36" s="1425"/>
      <c r="C36" s="1426"/>
      <c r="D36" s="1426"/>
      <c r="E36" s="1426"/>
      <c r="F36" s="1426"/>
      <c r="G36" s="1426"/>
      <c r="H36" s="1426"/>
      <c r="I36" s="1426"/>
      <c r="J36" s="1426"/>
      <c r="K36" s="1426"/>
      <c r="L36" s="1426"/>
      <c r="M36" s="1426"/>
      <c r="N36" s="1426"/>
      <c r="O36" s="1426"/>
      <c r="P36" s="1426"/>
      <c r="Q36" s="1426"/>
      <c r="R36" s="1426"/>
      <c r="S36" s="1426"/>
      <c r="T36" s="1427"/>
      <c r="U36" s="1422" t="s">
        <v>1051</v>
      </c>
      <c r="V36" s="1423"/>
      <c r="W36" s="1423"/>
      <c r="X36" s="1423"/>
      <c r="Y36" s="1423"/>
      <c r="Z36" s="1423"/>
      <c r="AA36" s="1423"/>
      <c r="AB36" s="1423"/>
      <c r="AC36" s="1423"/>
      <c r="AD36" s="1423"/>
      <c r="AE36" s="1423"/>
      <c r="AF36" s="1423"/>
      <c r="AG36" s="1423"/>
      <c r="AH36" s="1423"/>
      <c r="AI36" s="1423"/>
      <c r="AJ36" s="1423"/>
      <c r="AK36" s="1423"/>
      <c r="AL36" s="1424"/>
    </row>
    <row r="37" spans="2:52" ht="10.95" customHeight="1">
      <c r="B37" s="1425"/>
      <c r="C37" s="1426"/>
      <c r="D37" s="1426"/>
      <c r="E37" s="1426"/>
      <c r="F37" s="1426"/>
      <c r="G37" s="1426"/>
      <c r="H37" s="1426"/>
      <c r="I37" s="1426"/>
      <c r="J37" s="1426"/>
      <c r="K37" s="1426"/>
      <c r="L37" s="1426"/>
      <c r="M37" s="1426"/>
      <c r="N37" s="1426"/>
      <c r="O37" s="1426"/>
      <c r="P37" s="1426"/>
      <c r="Q37" s="1426"/>
      <c r="R37" s="1426"/>
      <c r="S37" s="1426"/>
      <c r="T37" s="1427"/>
      <c r="U37" s="1425"/>
      <c r="V37" s="1426"/>
      <c r="W37" s="1426"/>
      <c r="X37" s="1426"/>
      <c r="Y37" s="1426"/>
      <c r="Z37" s="1426"/>
      <c r="AA37" s="1426"/>
      <c r="AB37" s="1426"/>
      <c r="AC37" s="1426"/>
      <c r="AD37" s="1426"/>
      <c r="AE37" s="1426"/>
      <c r="AF37" s="1426"/>
      <c r="AG37" s="1426"/>
      <c r="AH37" s="1426"/>
      <c r="AI37" s="1426"/>
      <c r="AJ37" s="1426"/>
      <c r="AK37" s="1426"/>
      <c r="AL37" s="1427"/>
    </row>
    <row r="38" spans="2:52" ht="10.95" customHeight="1">
      <c r="B38" s="1425"/>
      <c r="C38" s="1426"/>
      <c r="D38" s="1426"/>
      <c r="E38" s="1426"/>
      <c r="F38" s="1426"/>
      <c r="G38" s="1426"/>
      <c r="H38" s="1426"/>
      <c r="I38" s="1426"/>
      <c r="J38" s="1426"/>
      <c r="K38" s="1426"/>
      <c r="L38" s="1426"/>
      <c r="M38" s="1426"/>
      <c r="N38" s="1426"/>
      <c r="O38" s="1426"/>
      <c r="P38" s="1426"/>
      <c r="Q38" s="1426"/>
      <c r="R38" s="1426"/>
      <c r="S38" s="1426"/>
      <c r="T38" s="1427"/>
      <c r="U38" s="1425"/>
      <c r="V38" s="1426"/>
      <c r="W38" s="1426"/>
      <c r="X38" s="1426"/>
      <c r="Y38" s="1426"/>
      <c r="Z38" s="1426"/>
      <c r="AA38" s="1426"/>
      <c r="AB38" s="1426"/>
      <c r="AC38" s="1426"/>
      <c r="AD38" s="1426"/>
      <c r="AE38" s="1426"/>
      <c r="AF38" s="1426"/>
      <c r="AG38" s="1426"/>
      <c r="AH38" s="1426"/>
      <c r="AI38" s="1426"/>
      <c r="AJ38" s="1426"/>
      <c r="AK38" s="1426"/>
      <c r="AL38" s="1427"/>
    </row>
    <row r="39" spans="2:52" ht="10.95" customHeight="1">
      <c r="B39" s="1425"/>
      <c r="C39" s="1426"/>
      <c r="D39" s="1426"/>
      <c r="E39" s="1426"/>
      <c r="F39" s="1426"/>
      <c r="G39" s="1426"/>
      <c r="H39" s="1426"/>
      <c r="I39" s="1426"/>
      <c r="J39" s="1426"/>
      <c r="K39" s="1426"/>
      <c r="L39" s="1426"/>
      <c r="M39" s="1426"/>
      <c r="N39" s="1426"/>
      <c r="O39" s="1426"/>
      <c r="P39" s="1426"/>
      <c r="Q39" s="1426"/>
      <c r="R39" s="1426"/>
      <c r="S39" s="1426"/>
      <c r="T39" s="1427"/>
      <c r="U39" s="1425"/>
      <c r="V39" s="1426"/>
      <c r="W39" s="1426"/>
      <c r="X39" s="1426"/>
      <c r="Y39" s="1426"/>
      <c r="Z39" s="1426"/>
      <c r="AA39" s="1426"/>
      <c r="AB39" s="1426"/>
      <c r="AC39" s="1426"/>
      <c r="AD39" s="1426"/>
      <c r="AE39" s="1426"/>
      <c r="AF39" s="1426"/>
      <c r="AG39" s="1426"/>
      <c r="AH39" s="1426"/>
      <c r="AI39" s="1426"/>
      <c r="AJ39" s="1426"/>
      <c r="AK39" s="1426"/>
      <c r="AL39" s="1427"/>
    </row>
    <row r="40" spans="2:52" ht="14.4" customHeight="1">
      <c r="B40" s="1428"/>
      <c r="C40" s="1429"/>
      <c r="D40" s="1429"/>
      <c r="E40" s="1429"/>
      <c r="F40" s="1429"/>
      <c r="G40" s="1429"/>
      <c r="H40" s="1429"/>
      <c r="I40" s="1429"/>
      <c r="J40" s="1429"/>
      <c r="K40" s="1429"/>
      <c r="L40" s="1429"/>
      <c r="M40" s="1429"/>
      <c r="N40" s="1429"/>
      <c r="O40" s="1429"/>
      <c r="P40" s="1429"/>
      <c r="Q40" s="1429"/>
      <c r="R40" s="1429"/>
      <c r="S40" s="1429"/>
      <c r="T40" s="1430"/>
      <c r="U40" s="1428"/>
      <c r="V40" s="1429"/>
      <c r="W40" s="1429"/>
      <c r="X40" s="1429"/>
      <c r="Y40" s="1429"/>
      <c r="Z40" s="1429"/>
      <c r="AA40" s="1429"/>
      <c r="AB40" s="1429"/>
      <c r="AC40" s="1429"/>
      <c r="AD40" s="1429"/>
      <c r="AE40" s="1429"/>
      <c r="AF40" s="1429"/>
      <c r="AG40" s="1429"/>
      <c r="AH40" s="1429"/>
      <c r="AI40" s="1429"/>
      <c r="AJ40" s="1429"/>
      <c r="AK40" s="1429"/>
      <c r="AL40" s="1430"/>
    </row>
    <row r="41" spans="2:52">
      <c r="B41" s="1399" t="s">
        <v>982</v>
      </c>
      <c r="C41" s="1400"/>
      <c r="D41" s="1400"/>
      <c r="E41" s="1400"/>
      <c r="F41" s="1400"/>
      <c r="G41" s="1400"/>
      <c r="H41" s="1400"/>
      <c r="I41" s="1400"/>
      <c r="J41" s="1400"/>
      <c r="K41" s="1400"/>
      <c r="L41" s="1400"/>
      <c r="M41" s="1400"/>
      <c r="N41" s="1400"/>
      <c r="O41" s="1400"/>
      <c r="P41" s="1400"/>
      <c r="Q41" s="1400"/>
      <c r="R41" s="1400"/>
      <c r="S41" s="1400"/>
      <c r="T41" s="1400"/>
      <c r="U41" s="1400"/>
      <c r="V41" s="1400"/>
      <c r="W41" s="1400"/>
      <c r="X41" s="1400"/>
      <c r="Y41" s="1400"/>
      <c r="Z41" s="1400"/>
      <c r="AA41" s="1400"/>
      <c r="AB41" s="1400"/>
      <c r="AC41" s="1400"/>
      <c r="AD41" s="1400"/>
      <c r="AE41" s="1400"/>
      <c r="AF41" s="1400"/>
      <c r="AG41" s="1400"/>
      <c r="AH41" s="1400"/>
      <c r="AI41" s="1400"/>
      <c r="AJ41" s="1400"/>
      <c r="AK41" s="1400"/>
      <c r="AL41" s="1401"/>
    </row>
    <row r="42" spans="2:52">
      <c r="B42" s="1402" t="s">
        <v>886</v>
      </c>
      <c r="C42" s="1403"/>
      <c r="D42" s="1403"/>
      <c r="E42" s="1403"/>
      <c r="F42" s="1403"/>
      <c r="G42" s="1403"/>
      <c r="H42" s="1403"/>
      <c r="I42" s="1403"/>
      <c r="J42" s="1404"/>
      <c r="K42" s="1405" t="s">
        <v>887</v>
      </c>
      <c r="L42" s="1406"/>
      <c r="M42" s="1407"/>
      <c r="N42" s="1405" t="s">
        <v>983</v>
      </c>
      <c r="O42" s="1406"/>
      <c r="P42" s="1407"/>
      <c r="Q42" s="1405" t="s">
        <v>889</v>
      </c>
      <c r="R42" s="1406"/>
      <c r="S42" s="1407"/>
      <c r="T42" s="1408" t="s">
        <v>984</v>
      </c>
      <c r="U42" s="1409"/>
      <c r="V42" s="1410"/>
      <c r="W42" s="1405" t="s">
        <v>891</v>
      </c>
      <c r="X42" s="1406"/>
      <c r="Y42" s="1407"/>
      <c r="AA42" s="1435" t="s">
        <v>877</v>
      </c>
      <c r="AB42" s="1435"/>
      <c r="AC42" s="1435"/>
      <c r="AD42" s="1435"/>
      <c r="AE42" s="1435"/>
      <c r="AF42" s="1435"/>
      <c r="AG42" s="1435"/>
      <c r="AH42" s="1435"/>
      <c r="AI42" s="1435"/>
      <c r="AJ42" s="1436" t="str">
        <f>IF('Work Scope'!G11="","",'Work Scope'!G11)</f>
        <v/>
      </c>
      <c r="AK42" s="1437"/>
      <c r="AL42" s="435"/>
    </row>
    <row r="43" spans="2:52">
      <c r="B43" s="431"/>
      <c r="C43" s="1431" t="s">
        <v>985</v>
      </c>
      <c r="D43" s="1431"/>
      <c r="E43" s="1431"/>
      <c r="F43" s="1431"/>
      <c r="G43" s="1431"/>
      <c r="H43" s="1431"/>
      <c r="I43" s="1431"/>
      <c r="J43" s="1431"/>
      <c r="K43" s="1432">
        <v>50</v>
      </c>
      <c r="L43" s="1432"/>
      <c r="M43" s="1432"/>
      <c r="N43" s="1433"/>
      <c r="O43" s="1433"/>
      <c r="P43" s="1433"/>
      <c r="Q43" s="1432" t="str">
        <f>IF(N43="","",(IF(N43&gt;K43,0,K43-N43)))</f>
        <v/>
      </c>
      <c r="R43" s="1432"/>
      <c r="S43" s="1432"/>
      <c r="T43" s="1434"/>
      <c r="U43" s="1434"/>
      <c r="V43" s="1434"/>
      <c r="W43" s="1432" t="str">
        <f>IFERROR(IF(T43="",Q43,(IF(T43="Y",IF((Q43-20)&gt;0, (Q43-20),0),Q43))),"")</f>
        <v/>
      </c>
      <c r="X43" s="1432"/>
      <c r="Y43" s="1432"/>
      <c r="Z43" s="1625"/>
      <c r="AA43" s="1626"/>
      <c r="AB43" s="1626"/>
      <c r="AC43" s="1626"/>
      <c r="AD43" s="1626"/>
      <c r="AE43" s="1626"/>
      <c r="AF43" s="1626"/>
      <c r="AG43" s="1626"/>
      <c r="AH43" s="1626"/>
      <c r="AI43" s="1626"/>
      <c r="AJ43" s="1626"/>
      <c r="AK43" s="1626"/>
      <c r="AL43" s="1612"/>
    </row>
    <row r="44" spans="2:52">
      <c r="B44" s="431"/>
      <c r="C44" s="1431" t="s">
        <v>987</v>
      </c>
      <c r="D44" s="1431"/>
      <c r="E44" s="1431"/>
      <c r="F44" s="1431"/>
      <c r="G44" s="1431"/>
      <c r="H44" s="1431"/>
      <c r="I44" s="1431"/>
      <c r="J44" s="1431"/>
      <c r="K44" s="1432">
        <v>50</v>
      </c>
      <c r="L44" s="1432"/>
      <c r="M44" s="1432"/>
      <c r="N44" s="1433"/>
      <c r="O44" s="1433"/>
      <c r="P44" s="1433"/>
      <c r="Q44" s="1432" t="str">
        <f t="shared" ref="Q44:Q49" si="0">IF(N44="","",(IF(N44&gt;K44,0,K44-N44)))</f>
        <v/>
      </c>
      <c r="R44" s="1432"/>
      <c r="S44" s="1432"/>
      <c r="T44" s="1434"/>
      <c r="U44" s="1434"/>
      <c r="V44" s="1434"/>
      <c r="W44" s="1432" t="str">
        <f t="shared" ref="W44:W49" si="1">IFERROR(IF(T44="",Q44,(IF(T44="Y",IF((Q44-20)&gt;0, (Q44-20),0),Q44))),"")</f>
        <v/>
      </c>
      <c r="X44" s="1432"/>
      <c r="Y44" s="1432"/>
      <c r="AA44" s="1438" t="s">
        <v>986</v>
      </c>
      <c r="AB44" s="1439"/>
      <c r="AC44" s="1439"/>
      <c r="AD44" s="1439"/>
      <c r="AE44" s="1439"/>
      <c r="AF44" s="1439"/>
      <c r="AG44" s="1439"/>
      <c r="AH44" s="1439"/>
      <c r="AI44" s="1439"/>
      <c r="AJ44" s="1439"/>
      <c r="AK44" s="1440"/>
      <c r="AL44" s="432"/>
      <c r="AP44" s="1"/>
      <c r="AQ44" s="1"/>
      <c r="AR44" s="1"/>
      <c r="AS44" s="1"/>
      <c r="AT44" s="1"/>
      <c r="AU44" s="1"/>
      <c r="AV44" s="1"/>
      <c r="AW44" s="1"/>
      <c r="AX44" s="1"/>
      <c r="AY44" s="1"/>
      <c r="AZ44" s="1"/>
    </row>
    <row r="45" spans="2:52">
      <c r="B45" s="431"/>
      <c r="C45" s="1431" t="s">
        <v>989</v>
      </c>
      <c r="D45" s="1431"/>
      <c r="E45" s="1431"/>
      <c r="F45" s="1431"/>
      <c r="G45" s="1431"/>
      <c r="H45" s="1431"/>
      <c r="I45" s="1431"/>
      <c r="J45" s="1431"/>
      <c r="K45" s="1432">
        <v>50</v>
      </c>
      <c r="L45" s="1432"/>
      <c r="M45" s="1432"/>
      <c r="N45" s="1433"/>
      <c r="O45" s="1433"/>
      <c r="P45" s="1433"/>
      <c r="Q45" s="1432" t="str">
        <f t="shared" si="0"/>
        <v/>
      </c>
      <c r="R45" s="1432"/>
      <c r="S45" s="1432"/>
      <c r="T45" s="1434"/>
      <c r="U45" s="1434"/>
      <c r="V45" s="1434"/>
      <c r="W45" s="1432" t="str">
        <f t="shared" si="1"/>
        <v/>
      </c>
      <c r="X45" s="1432"/>
      <c r="Y45" s="1432"/>
      <c r="AA45" s="436"/>
      <c r="AB45" s="1441" t="s">
        <v>988</v>
      </c>
      <c r="AC45" s="1383"/>
      <c r="AD45" s="1383"/>
      <c r="AE45" s="1383"/>
      <c r="AF45" s="1383"/>
      <c r="AG45" s="1383"/>
      <c r="AH45" s="1383"/>
      <c r="AI45" s="1383"/>
      <c r="AJ45" s="1383"/>
      <c r="AK45" s="1442"/>
      <c r="AL45" s="432"/>
    </row>
    <row r="46" spans="2:52">
      <c r="B46" s="431"/>
      <c r="C46" s="1431" t="s">
        <v>991</v>
      </c>
      <c r="D46" s="1431"/>
      <c r="E46" s="1431"/>
      <c r="F46" s="1431"/>
      <c r="G46" s="1431"/>
      <c r="H46" s="1431"/>
      <c r="I46" s="1431"/>
      <c r="J46" s="1431"/>
      <c r="K46" s="1432">
        <v>50</v>
      </c>
      <c r="L46" s="1432"/>
      <c r="M46" s="1432"/>
      <c r="N46" s="1433"/>
      <c r="O46" s="1433"/>
      <c r="P46" s="1433"/>
      <c r="Q46" s="1432" t="str">
        <f t="shared" si="0"/>
        <v/>
      </c>
      <c r="R46" s="1432"/>
      <c r="S46" s="1432"/>
      <c r="T46" s="1434"/>
      <c r="U46" s="1434"/>
      <c r="V46" s="1434"/>
      <c r="W46" s="1432" t="str">
        <f t="shared" si="1"/>
        <v/>
      </c>
      <c r="X46" s="1432"/>
      <c r="Y46" s="1432"/>
      <c r="AA46" s="436"/>
      <c r="AB46" s="1441" t="s">
        <v>990</v>
      </c>
      <c r="AC46" s="1383"/>
      <c r="AD46" s="1383"/>
      <c r="AE46" s="1383"/>
      <c r="AF46" s="1383"/>
      <c r="AG46" s="1383"/>
      <c r="AH46" s="1383"/>
      <c r="AI46" s="1383"/>
      <c r="AJ46" s="1383"/>
      <c r="AK46" s="1442"/>
      <c r="AL46" s="432"/>
      <c r="AR46" s="318"/>
    </row>
    <row r="47" spans="2:52">
      <c r="B47" s="431"/>
      <c r="C47" s="1431" t="s">
        <v>993</v>
      </c>
      <c r="D47" s="1431"/>
      <c r="E47" s="1431"/>
      <c r="F47" s="1431"/>
      <c r="G47" s="1431"/>
      <c r="H47" s="1431"/>
      <c r="I47" s="1431"/>
      <c r="J47" s="1431"/>
      <c r="K47" s="1432">
        <v>0</v>
      </c>
      <c r="L47" s="1432"/>
      <c r="M47" s="1432"/>
      <c r="N47" s="1433"/>
      <c r="O47" s="1433"/>
      <c r="P47" s="1433"/>
      <c r="Q47" s="1432">
        <v>0</v>
      </c>
      <c r="R47" s="1432"/>
      <c r="S47" s="1432"/>
      <c r="T47" s="1477" t="s">
        <v>431</v>
      </c>
      <c r="U47" s="1477"/>
      <c r="V47" s="1477"/>
      <c r="W47" s="1432">
        <v>0</v>
      </c>
      <c r="X47" s="1432"/>
      <c r="Y47" s="1432"/>
      <c r="AA47" s="436"/>
      <c r="AB47" s="1441" t="s">
        <v>992</v>
      </c>
      <c r="AC47" s="1383"/>
      <c r="AD47" s="1383"/>
      <c r="AE47" s="1383"/>
      <c r="AF47" s="1383"/>
      <c r="AG47" s="1383"/>
      <c r="AH47" s="1383"/>
      <c r="AI47" s="1383"/>
      <c r="AJ47" s="1383"/>
      <c r="AK47" s="1442"/>
      <c r="AL47" s="432"/>
      <c r="AR47" s="318"/>
    </row>
    <row r="48" spans="2:52">
      <c r="B48" s="431"/>
      <c r="C48" s="1431" t="s">
        <v>995</v>
      </c>
      <c r="D48" s="1431"/>
      <c r="E48" s="1431"/>
      <c r="F48" s="1431"/>
      <c r="G48" s="1431"/>
      <c r="H48" s="1431"/>
      <c r="I48" s="1431"/>
      <c r="J48" s="1431"/>
      <c r="K48" s="1432">
        <v>100</v>
      </c>
      <c r="L48" s="1432"/>
      <c r="M48" s="1432"/>
      <c r="N48" s="1433">
        <v>0</v>
      </c>
      <c r="O48" s="1433"/>
      <c r="P48" s="1433"/>
      <c r="Q48" s="1432">
        <f t="shared" si="0"/>
        <v>100</v>
      </c>
      <c r="R48" s="1432"/>
      <c r="S48" s="1432"/>
      <c r="T48" s="1434"/>
      <c r="U48" s="1434"/>
      <c r="V48" s="1434"/>
      <c r="W48" s="1432">
        <f t="shared" si="1"/>
        <v>100</v>
      </c>
      <c r="X48" s="1432"/>
      <c r="Y48" s="1432"/>
      <c r="AA48" s="436"/>
      <c r="AB48" s="1441" t="s">
        <v>994</v>
      </c>
      <c r="AC48" s="1383"/>
      <c r="AD48" s="1383"/>
      <c r="AE48" s="1383"/>
      <c r="AF48" s="1383"/>
      <c r="AG48" s="1383"/>
      <c r="AH48" s="1383"/>
      <c r="AI48" s="1383"/>
      <c r="AJ48" s="1383"/>
      <c r="AK48" s="1442"/>
      <c r="AL48" s="432"/>
      <c r="AR48" s="318"/>
    </row>
    <row r="49" spans="2:44" ht="14.4" customHeight="1">
      <c r="B49" s="431"/>
      <c r="C49" s="1431" t="s">
        <v>997</v>
      </c>
      <c r="D49" s="1431"/>
      <c r="E49" s="1431"/>
      <c r="F49" s="1431"/>
      <c r="G49" s="1431"/>
      <c r="H49" s="1431"/>
      <c r="I49" s="1431"/>
      <c r="J49" s="1431"/>
      <c r="K49" s="1432">
        <v>100</v>
      </c>
      <c r="L49" s="1432"/>
      <c r="M49" s="1432"/>
      <c r="N49" s="1433"/>
      <c r="O49" s="1433"/>
      <c r="P49" s="1433"/>
      <c r="Q49" s="1432" t="str">
        <f t="shared" si="0"/>
        <v/>
      </c>
      <c r="R49" s="1432"/>
      <c r="S49" s="1432"/>
      <c r="T49" s="1434"/>
      <c r="U49" s="1434"/>
      <c r="V49" s="1434"/>
      <c r="W49" s="1432" t="str">
        <f t="shared" si="1"/>
        <v/>
      </c>
      <c r="X49" s="1432"/>
      <c r="Y49" s="1432"/>
      <c r="AA49" s="436"/>
      <c r="AB49" s="1441" t="s">
        <v>996</v>
      </c>
      <c r="AC49" s="1383"/>
      <c r="AD49" s="1383"/>
      <c r="AE49" s="1383"/>
      <c r="AF49" s="1383"/>
      <c r="AG49" s="1383"/>
      <c r="AH49" s="1383"/>
      <c r="AI49" s="1383"/>
      <c r="AJ49" s="1383"/>
      <c r="AK49" s="1442"/>
      <c r="AL49" s="432"/>
      <c r="AR49" s="318"/>
    </row>
    <row r="50" spans="2:44" ht="14.4" customHeight="1">
      <c r="B50" s="479"/>
      <c r="C50" s="480"/>
      <c r="D50" s="480"/>
      <c r="E50" s="480"/>
      <c r="F50" s="480"/>
      <c r="G50" s="480"/>
      <c r="H50" s="480"/>
      <c r="I50" s="480"/>
      <c r="J50" s="480"/>
      <c r="K50" s="480"/>
      <c r="L50" s="480"/>
      <c r="M50" s="480"/>
      <c r="N50" s="480"/>
      <c r="O50" s="480"/>
      <c r="P50" s="480"/>
      <c r="Q50" s="480"/>
      <c r="R50" s="1619" t="s">
        <v>998</v>
      </c>
      <c r="S50" s="1619"/>
      <c r="T50" s="1619"/>
      <c r="U50" s="1619"/>
      <c r="V50" s="1619"/>
      <c r="W50" s="1616">
        <f>IF(COUNT(W43:Y46)+COUNT(W48:Y49)=0,"",SUM(W43:Y49))</f>
        <v>100</v>
      </c>
      <c r="X50" s="1617"/>
      <c r="Y50" s="1618"/>
      <c r="Z50" s="480"/>
      <c r="AA50" s="436"/>
      <c r="AB50" s="1645" t="s">
        <v>658</v>
      </c>
      <c r="AC50" s="1646"/>
      <c r="AD50" s="1643"/>
      <c r="AE50" s="1643"/>
      <c r="AF50" s="1643"/>
      <c r="AG50" s="1643"/>
      <c r="AH50" s="1643"/>
      <c r="AI50" s="1643"/>
      <c r="AJ50" s="1643"/>
      <c r="AK50" s="1644"/>
      <c r="AL50" s="461"/>
      <c r="AR50" s="318"/>
    </row>
    <row r="51" spans="2:44" ht="3" customHeight="1">
      <c r="B51" s="1613"/>
      <c r="C51" s="1614"/>
      <c r="D51" s="1614"/>
      <c r="E51" s="1614"/>
      <c r="F51" s="1614"/>
      <c r="G51" s="1614"/>
      <c r="H51" s="1614"/>
      <c r="I51" s="1614"/>
      <c r="J51" s="1614"/>
      <c r="K51" s="1614"/>
      <c r="L51" s="1614"/>
      <c r="M51" s="1614"/>
      <c r="N51" s="1614"/>
      <c r="O51" s="1614"/>
      <c r="P51" s="1614"/>
      <c r="Q51" s="1614"/>
      <c r="R51" s="1614"/>
      <c r="S51" s="1614"/>
      <c r="T51" s="1614"/>
      <c r="U51" s="1614"/>
      <c r="V51" s="1614"/>
      <c r="W51" s="1614"/>
      <c r="X51" s="1614"/>
      <c r="Y51" s="1614"/>
      <c r="Z51" s="1614"/>
      <c r="AA51" s="1614"/>
      <c r="AB51" s="1614"/>
      <c r="AC51" s="1614"/>
      <c r="AD51" s="1614"/>
      <c r="AE51" s="1614"/>
      <c r="AF51" s="1614"/>
      <c r="AG51" s="1614"/>
      <c r="AH51" s="1614"/>
      <c r="AI51" s="1614"/>
      <c r="AJ51" s="1614"/>
      <c r="AK51" s="1614"/>
      <c r="AL51" s="1615"/>
      <c r="AR51" s="318"/>
    </row>
    <row r="52" spans="2:44" ht="12" customHeight="1">
      <c r="B52" s="1446" t="s">
        <v>902</v>
      </c>
      <c r="C52" s="1447"/>
      <c r="D52" s="1447"/>
      <c r="E52" s="1447"/>
      <c r="F52" s="1447"/>
      <c r="G52" s="1447"/>
      <c r="H52" s="1447"/>
      <c r="I52" s="1447"/>
      <c r="J52" s="1447"/>
      <c r="K52" s="1620"/>
      <c r="L52" s="1621"/>
      <c r="N52" s="1447" t="s">
        <v>999</v>
      </c>
      <c r="O52" s="1447"/>
      <c r="P52" s="1447"/>
      <c r="Q52" s="1447"/>
      <c r="R52" s="1622" t="str">
        <f>IFERROR(VLOOKUP(Q12,Lists!T14:U18,2,FALSE),"")</f>
        <v/>
      </c>
      <c r="S52" s="1623"/>
      <c r="T52" s="420"/>
      <c r="W52" s="422"/>
      <c r="X52" s="422"/>
      <c r="Y52" s="422"/>
      <c r="AL52" s="432"/>
      <c r="AR52" s="318"/>
    </row>
    <row r="53" spans="2:44" ht="3" customHeight="1">
      <c r="B53" s="1613"/>
      <c r="C53" s="1614"/>
      <c r="D53" s="1614"/>
      <c r="E53" s="1614"/>
      <c r="F53" s="1614"/>
      <c r="G53" s="1614"/>
      <c r="H53" s="1614"/>
      <c r="I53" s="1614"/>
      <c r="J53" s="1614"/>
      <c r="K53" s="1614"/>
      <c r="L53" s="1614"/>
      <c r="M53" s="1614"/>
      <c r="N53" s="1614"/>
      <c r="O53" s="1614"/>
      <c r="P53" s="1614"/>
      <c r="Q53" s="1614"/>
      <c r="R53" s="1614"/>
      <c r="S53" s="1614"/>
      <c r="T53" s="1614"/>
      <c r="U53" s="1614"/>
      <c r="V53" s="1614"/>
      <c r="W53" s="1614"/>
      <c r="X53" s="1614"/>
      <c r="Y53" s="1614"/>
      <c r="Z53" s="1614"/>
      <c r="AA53" s="1614"/>
      <c r="AB53" s="1614"/>
      <c r="AC53" s="1614"/>
      <c r="AD53" s="1614"/>
      <c r="AE53" s="1614"/>
      <c r="AF53" s="1614"/>
      <c r="AG53" s="1614"/>
      <c r="AH53" s="1614"/>
      <c r="AI53" s="1614"/>
      <c r="AJ53" s="1614"/>
      <c r="AK53" s="1614"/>
      <c r="AL53" s="1615"/>
    </row>
    <row r="54" spans="2:44" ht="12" customHeight="1">
      <c r="B54" s="1446" t="s">
        <v>1000</v>
      </c>
      <c r="C54" s="1447"/>
      <c r="D54" s="1447"/>
      <c r="E54" s="1447"/>
      <c r="F54" s="1447"/>
      <c r="G54" s="1447"/>
      <c r="H54" s="1447"/>
      <c r="I54" s="1447"/>
      <c r="J54" s="1447"/>
      <c r="K54" s="1447"/>
      <c r="L54" s="1447"/>
      <c r="M54" s="1447"/>
      <c r="N54" s="1447"/>
      <c r="O54" s="1447"/>
      <c r="P54" s="1447"/>
      <c r="Q54" s="1447"/>
      <c r="R54" s="1447"/>
      <c r="S54" s="1447"/>
      <c r="T54" s="1447"/>
      <c r="U54" s="1447"/>
      <c r="V54" s="1447"/>
      <c r="W54" s="1448"/>
      <c r="X54" s="1449" t="str">
        <f>IF($L$12="","",IF($Y$12="","",(0.03*$L$12+(7.5*($Y$12+1)))))</f>
        <v/>
      </c>
      <c r="Y54" s="1450"/>
      <c r="AL54" s="432"/>
      <c r="AR54" s="318"/>
    </row>
    <row r="55" spans="2:44" ht="3" customHeight="1">
      <c r="B55" s="1610"/>
      <c r="C55" s="1611"/>
      <c r="D55" s="1611"/>
      <c r="E55" s="1611"/>
      <c r="F55" s="1611"/>
      <c r="G55" s="1611"/>
      <c r="H55" s="1611"/>
      <c r="I55" s="1611"/>
      <c r="J55" s="1611"/>
      <c r="K55" s="1611"/>
      <c r="L55" s="1611"/>
      <c r="M55" s="1611"/>
      <c r="N55" s="1611"/>
      <c r="O55" s="1611"/>
      <c r="P55" s="1611"/>
      <c r="Q55" s="1611"/>
      <c r="R55" s="1611"/>
      <c r="S55" s="1611"/>
      <c r="T55" s="1611"/>
      <c r="U55" s="1611"/>
      <c r="V55" s="1611"/>
      <c r="W55" s="1611"/>
      <c r="X55" s="1611"/>
      <c r="Y55" s="1611"/>
      <c r="Z55" s="1611"/>
      <c r="AA55" s="1611"/>
      <c r="AB55" s="1611"/>
      <c r="AC55" s="1611"/>
      <c r="AD55" s="1611"/>
      <c r="AE55" s="1611"/>
      <c r="AF55" s="1611"/>
      <c r="AG55" s="1611"/>
      <c r="AH55" s="1611"/>
      <c r="AI55" s="1611"/>
      <c r="AJ55" s="1611"/>
      <c r="AK55" s="1611"/>
      <c r="AL55" s="1612"/>
    </row>
    <row r="56" spans="2:44" ht="12" customHeight="1">
      <c r="B56" s="1446" t="s">
        <v>905</v>
      </c>
      <c r="C56" s="1447"/>
      <c r="D56" s="1447"/>
      <c r="E56" s="1447"/>
      <c r="F56" s="1447"/>
      <c r="G56" s="1447"/>
      <c r="H56" s="1447"/>
      <c r="I56" s="1447"/>
      <c r="J56" s="1447"/>
      <c r="K56" s="1447"/>
      <c r="L56" s="1447"/>
      <c r="M56" s="1447"/>
      <c r="N56" s="1447"/>
      <c r="O56" s="1447"/>
      <c r="P56" s="1447"/>
      <c r="Q56" s="1447"/>
      <c r="R56" s="1447"/>
      <c r="S56" s="1447"/>
      <c r="T56" s="1447"/>
      <c r="U56" s="1447"/>
      <c r="V56" s="1447"/>
      <c r="W56" s="1448"/>
      <c r="X56" s="1449">
        <f>IF(W50="","",IF(W50&gt;0,W50/4,""))</f>
        <v>25</v>
      </c>
      <c r="Y56" s="1450"/>
      <c r="AL56" s="432"/>
    </row>
    <row r="57" spans="2:44" ht="3" customHeight="1">
      <c r="B57" s="1610"/>
      <c r="C57" s="1611"/>
      <c r="D57" s="1611"/>
      <c r="E57" s="1611"/>
      <c r="F57" s="1611"/>
      <c r="G57" s="1611"/>
      <c r="H57" s="1611"/>
      <c r="I57" s="1611"/>
      <c r="J57" s="1611"/>
      <c r="K57" s="1611"/>
      <c r="L57" s="1611"/>
      <c r="M57" s="1611"/>
      <c r="N57" s="1611"/>
      <c r="O57" s="1611"/>
      <c r="P57" s="1611"/>
      <c r="Q57" s="1611"/>
      <c r="R57" s="1611"/>
      <c r="S57" s="1611"/>
      <c r="T57" s="1611"/>
      <c r="U57" s="1611"/>
      <c r="V57" s="1611"/>
      <c r="W57" s="1611"/>
      <c r="X57" s="1611"/>
      <c r="Y57" s="1611"/>
      <c r="Z57" s="1611"/>
      <c r="AA57" s="1611"/>
      <c r="AB57" s="1611"/>
      <c r="AC57" s="1611"/>
      <c r="AD57" s="1611"/>
      <c r="AE57" s="1611"/>
      <c r="AF57" s="1611"/>
      <c r="AG57" s="1611"/>
      <c r="AH57" s="1611"/>
      <c r="AI57" s="1611"/>
      <c r="AJ57" s="1611"/>
      <c r="AK57" s="1611"/>
      <c r="AL57" s="1612"/>
    </row>
    <row r="58" spans="2:44" ht="12" customHeight="1">
      <c r="B58" s="1446" t="s">
        <v>1001</v>
      </c>
      <c r="C58" s="1447"/>
      <c r="D58" s="1447"/>
      <c r="E58" s="1447"/>
      <c r="F58" s="1447"/>
      <c r="G58" s="1447"/>
      <c r="H58" s="1447"/>
      <c r="I58" s="1447"/>
      <c r="J58" s="1447"/>
      <c r="K58" s="1447"/>
      <c r="L58" s="1447"/>
      <c r="M58" s="1447"/>
      <c r="N58" s="1447"/>
      <c r="O58" s="1447"/>
      <c r="P58" s="1447"/>
      <c r="Q58" s="1447"/>
      <c r="R58" s="1447"/>
      <c r="S58" s="1447"/>
      <c r="T58" s="1447"/>
      <c r="U58" s="1447"/>
      <c r="V58" s="1447"/>
      <c r="W58" s="1448"/>
      <c r="X58" s="1449" t="str">
        <f>IF(X54="","",IF(X56="",X54,X54+X56))</f>
        <v/>
      </c>
      <c r="Y58" s="1450"/>
      <c r="AA58" s="1624" t="s">
        <v>1002</v>
      </c>
      <c r="AB58" s="1624"/>
      <c r="AC58" s="1624"/>
      <c r="AD58" s="1624"/>
      <c r="AE58" s="1624"/>
      <c r="AF58" s="1624"/>
      <c r="AG58" s="1624"/>
      <c r="AH58" s="1624"/>
      <c r="AI58" s="1624"/>
      <c r="AJ58" s="1624"/>
      <c r="AK58" s="1624"/>
      <c r="AL58" s="432"/>
    </row>
    <row r="59" spans="2:44" ht="3" customHeight="1">
      <c r="B59" s="1610"/>
      <c r="C59" s="1611"/>
      <c r="D59" s="1611"/>
      <c r="E59" s="1611"/>
      <c r="F59" s="1611"/>
      <c r="G59" s="1611"/>
      <c r="H59" s="1611"/>
      <c r="I59" s="1611"/>
      <c r="J59" s="1611"/>
      <c r="K59" s="1611"/>
      <c r="L59" s="1611"/>
      <c r="M59" s="1611"/>
      <c r="N59" s="1611"/>
      <c r="O59" s="1611"/>
      <c r="P59" s="1611"/>
      <c r="Q59" s="1611"/>
      <c r="R59" s="1611"/>
      <c r="S59" s="1611"/>
      <c r="T59" s="1611"/>
      <c r="U59" s="1611"/>
      <c r="V59" s="1611"/>
      <c r="W59" s="1611"/>
      <c r="X59" s="1611"/>
      <c r="Y59" s="1611"/>
      <c r="Z59" s="1611"/>
      <c r="AA59" s="1611"/>
      <c r="AB59" s="1611"/>
      <c r="AC59" s="1611"/>
      <c r="AD59" s="1611"/>
      <c r="AE59" s="1611"/>
      <c r="AF59" s="1611"/>
      <c r="AG59" s="1611"/>
      <c r="AH59" s="1611"/>
      <c r="AI59" s="1611"/>
      <c r="AJ59" s="1611"/>
      <c r="AK59" s="1611"/>
      <c r="AL59" s="1612"/>
    </row>
    <row r="60" spans="2:44" ht="12" customHeight="1">
      <c r="B60" s="1446" t="s">
        <v>908</v>
      </c>
      <c r="C60" s="1447"/>
      <c r="D60" s="1447"/>
      <c r="E60" s="1447"/>
      <c r="F60" s="1447"/>
      <c r="G60" s="1447"/>
      <c r="H60" s="1447"/>
      <c r="I60" s="1447"/>
      <c r="J60" s="1447"/>
      <c r="K60" s="1447"/>
      <c r="L60" s="1447"/>
      <c r="M60" s="1447"/>
      <c r="N60" s="1447"/>
      <c r="O60" s="1447"/>
      <c r="P60" s="1447"/>
      <c r="Q60" s="1447"/>
      <c r="R60" s="1447"/>
      <c r="S60" s="1447"/>
      <c r="T60" s="1447"/>
      <c r="U60" s="1447"/>
      <c r="V60" s="1447"/>
      <c r="W60" s="1448"/>
      <c r="X60" s="1449" t="str">
        <f>IF(AJ42="","",IF(R52="","",IF(K52="","",0.052*AJ42*K52*R52)))</f>
        <v/>
      </c>
      <c r="Y60" s="1450"/>
      <c r="AA60" s="1435" t="s">
        <v>1003</v>
      </c>
      <c r="AB60" s="1435"/>
      <c r="AC60" s="1435"/>
      <c r="AD60" s="1489"/>
      <c r="AE60" s="1443"/>
      <c r="AF60" s="1444"/>
      <c r="AG60" s="1451" t="s">
        <v>1004</v>
      </c>
      <c r="AH60" s="1447"/>
      <c r="AI60" s="1447"/>
      <c r="AJ60" s="1447"/>
      <c r="AK60" s="436"/>
      <c r="AL60" s="432"/>
    </row>
    <row r="61" spans="2:44" ht="3" customHeight="1">
      <c r="B61" s="1610"/>
      <c r="C61" s="1611"/>
      <c r="D61" s="1611"/>
      <c r="E61" s="1611"/>
      <c r="F61" s="1611"/>
      <c r="G61" s="1611"/>
      <c r="H61" s="1611"/>
      <c r="I61" s="1611"/>
      <c r="J61" s="1611"/>
      <c r="K61" s="1611"/>
      <c r="L61" s="1611"/>
      <c r="M61" s="1611"/>
      <c r="N61" s="1611"/>
      <c r="O61" s="1611"/>
      <c r="P61" s="1611"/>
      <c r="Q61" s="1611"/>
      <c r="R61" s="1611"/>
      <c r="S61" s="1611"/>
      <c r="T61" s="1611"/>
      <c r="U61" s="1611"/>
      <c r="V61" s="1611"/>
      <c r="W61" s="1611"/>
      <c r="X61" s="1611"/>
      <c r="Y61" s="1611"/>
      <c r="Z61" s="1611"/>
      <c r="AA61" s="1611"/>
      <c r="AB61" s="1611"/>
      <c r="AC61" s="1611"/>
      <c r="AD61" s="1611"/>
      <c r="AE61" s="1611"/>
      <c r="AF61" s="1611"/>
      <c r="AG61" s="1611"/>
      <c r="AH61" s="1611"/>
      <c r="AI61" s="1611"/>
      <c r="AJ61" s="1611"/>
      <c r="AK61" s="1611"/>
      <c r="AL61" s="1612"/>
    </row>
    <row r="62" spans="2:44" ht="12" customHeight="1">
      <c r="B62" s="1446" t="s">
        <v>909</v>
      </c>
      <c r="C62" s="1447"/>
      <c r="D62" s="1447"/>
      <c r="E62" s="1447"/>
      <c r="F62" s="1447"/>
      <c r="G62" s="1447"/>
      <c r="H62" s="1447"/>
      <c r="I62" s="1447"/>
      <c r="J62" s="1447"/>
      <c r="K62" s="1447"/>
      <c r="L62" s="1447"/>
      <c r="M62" s="1447"/>
      <c r="N62" s="1447"/>
      <c r="O62" s="1447"/>
      <c r="P62" s="1447"/>
      <c r="Q62" s="1447"/>
      <c r="R62" s="1447"/>
      <c r="S62" s="1447"/>
      <c r="T62" s="1447"/>
      <c r="U62" s="1447"/>
      <c r="V62" s="1447"/>
      <c r="W62" s="1448"/>
      <c r="X62" s="1449" t="str">
        <f>IF(X58="","",IF(X60="","",X58-X60))</f>
        <v/>
      </c>
      <c r="Y62" s="1450"/>
      <c r="AA62" s="1435" t="s">
        <v>1005</v>
      </c>
      <c r="AB62" s="1435"/>
      <c r="AC62" s="1435"/>
      <c r="AD62" s="1435"/>
      <c r="AE62" s="1443"/>
      <c r="AF62" s="1444"/>
      <c r="AG62" s="1451" t="s">
        <v>1006</v>
      </c>
      <c r="AH62" s="1447"/>
      <c r="AI62" s="1447"/>
      <c r="AJ62" s="1448"/>
      <c r="AK62" s="436"/>
      <c r="AL62" s="432"/>
    </row>
    <row r="63" spans="2:44" ht="3" customHeight="1" thickBot="1">
      <c r="B63" s="1452"/>
      <c r="C63" s="661"/>
      <c r="D63" s="661"/>
      <c r="E63" s="661"/>
      <c r="F63" s="661"/>
      <c r="G63" s="661"/>
      <c r="H63" s="661"/>
      <c r="I63" s="661"/>
      <c r="J63" s="661"/>
      <c r="K63" s="661"/>
      <c r="L63" s="661"/>
      <c r="M63" s="661"/>
      <c r="N63" s="661"/>
      <c r="O63" s="661"/>
      <c r="P63" s="661"/>
      <c r="Q63" s="661"/>
      <c r="R63" s="661"/>
      <c r="S63" s="661"/>
      <c r="T63" s="661"/>
      <c r="U63" s="661"/>
      <c r="V63" s="661"/>
      <c r="W63" s="661"/>
      <c r="X63" s="661"/>
      <c r="Y63" s="661"/>
      <c r="Z63" s="661"/>
      <c r="AA63" s="661"/>
      <c r="AB63" s="661"/>
      <c r="AC63" s="661"/>
      <c r="AD63" s="661"/>
      <c r="AE63" s="661"/>
      <c r="AF63" s="661"/>
      <c r="AG63" s="661"/>
      <c r="AH63" s="661"/>
      <c r="AI63" s="661"/>
      <c r="AJ63" s="661"/>
      <c r="AK63" s="661"/>
      <c r="AL63" s="1453"/>
    </row>
    <row r="64" spans="2:44" ht="3" customHeight="1" thickBot="1"/>
    <row r="65" spans="2:38" ht="3" customHeight="1">
      <c r="B65" s="681"/>
      <c r="C65" s="682"/>
      <c r="D65" s="682"/>
      <c r="E65" s="682"/>
      <c r="F65" s="682"/>
      <c r="G65" s="682"/>
      <c r="H65" s="682"/>
      <c r="I65" s="682"/>
      <c r="J65" s="682"/>
      <c r="K65" s="682"/>
      <c r="L65" s="682"/>
      <c r="M65" s="682"/>
      <c r="N65" s="682"/>
      <c r="O65" s="682"/>
      <c r="P65" s="682"/>
      <c r="Q65" s="682"/>
      <c r="R65" s="682"/>
      <c r="S65" s="682"/>
      <c r="T65" s="682"/>
      <c r="U65" s="682"/>
      <c r="V65" s="682"/>
      <c r="W65" s="682"/>
      <c r="X65" s="682"/>
      <c r="Y65" s="682"/>
      <c r="Z65" s="682"/>
      <c r="AA65" s="682"/>
      <c r="AB65" s="682"/>
      <c r="AC65" s="682"/>
      <c r="AD65" s="682"/>
      <c r="AE65" s="682"/>
      <c r="AF65" s="682"/>
      <c r="AG65" s="682"/>
      <c r="AH65" s="682"/>
      <c r="AI65" s="682"/>
      <c r="AJ65" s="682"/>
      <c r="AK65" s="682"/>
      <c r="AL65" s="683"/>
    </row>
    <row r="66" spans="2:38" ht="15.6">
      <c r="B66" s="1463" t="s">
        <v>1007</v>
      </c>
      <c r="C66" s="1464"/>
      <c r="D66" s="1464"/>
      <c r="E66" s="1464"/>
      <c r="F66" s="1464"/>
      <c r="G66" s="1464"/>
      <c r="H66" s="1464"/>
      <c r="I66" s="1464"/>
      <c r="J66" s="1464"/>
      <c r="K66" s="1464"/>
      <c r="L66" s="1464"/>
      <c r="M66" s="1464"/>
      <c r="N66" s="1464"/>
      <c r="O66" s="1464"/>
      <c r="P66" s="1464"/>
      <c r="Q66" s="1464"/>
      <c r="R66" s="1464"/>
      <c r="S66" s="1464"/>
      <c r="T66" s="1464"/>
      <c r="U66" s="1464"/>
      <c r="V66" s="1464"/>
      <c r="W66" s="1464"/>
      <c r="X66" s="1464"/>
      <c r="Y66" s="1464"/>
      <c r="Z66" s="1464"/>
      <c r="AA66" s="1464"/>
      <c r="AB66" s="1464"/>
      <c r="AC66" s="1462" t="s">
        <v>1071</v>
      </c>
      <c r="AD66" s="1462"/>
      <c r="AE66" s="1462"/>
      <c r="AF66" s="1462"/>
      <c r="AG66" s="1462"/>
      <c r="AH66" s="1398"/>
      <c r="AI66" s="1398"/>
      <c r="AJ66" s="1398"/>
      <c r="AK66" s="1398"/>
      <c r="AL66" s="428"/>
    </row>
    <row r="67" spans="2:38" ht="3" customHeight="1">
      <c r="B67" s="429"/>
      <c r="C67" s="430"/>
      <c r="D67" s="430"/>
      <c r="E67" s="430"/>
      <c r="F67" s="430"/>
      <c r="G67" s="430"/>
      <c r="H67" s="430"/>
      <c r="I67" s="430"/>
      <c r="J67" s="430"/>
      <c r="K67" s="430"/>
      <c r="L67" s="430"/>
      <c r="M67" s="430"/>
      <c r="N67" s="430"/>
      <c r="O67" s="430"/>
      <c r="P67" s="430"/>
      <c r="Q67" s="430"/>
      <c r="R67" s="430"/>
      <c r="S67" s="430"/>
      <c r="T67" s="430"/>
      <c r="U67" s="430"/>
      <c r="V67" s="430"/>
      <c r="W67" s="430"/>
      <c r="X67" s="430"/>
      <c r="Y67" s="430"/>
      <c r="Z67" s="430"/>
      <c r="AA67" s="430"/>
      <c r="AB67" s="430"/>
      <c r="AC67" s="430"/>
      <c r="AD67" s="430"/>
      <c r="AE67" s="430"/>
      <c r="AF67" s="430"/>
      <c r="AG67" s="430"/>
      <c r="AH67" s="430"/>
      <c r="AI67" s="430"/>
      <c r="AJ67" s="430"/>
      <c r="AK67" s="430"/>
      <c r="AL67" s="428"/>
    </row>
    <row r="68" spans="2:38">
      <c r="B68" s="1399" t="s">
        <v>965</v>
      </c>
      <c r="C68" s="1456"/>
      <c r="D68" s="1456"/>
      <c r="E68" s="1456"/>
      <c r="F68" s="1456"/>
      <c r="G68" s="1456"/>
      <c r="H68" s="1456"/>
      <c r="I68" s="1456"/>
      <c r="J68" s="1456"/>
      <c r="K68" s="1456"/>
      <c r="L68" s="1456"/>
      <c r="M68" s="1456"/>
      <c r="N68" s="1456"/>
      <c r="O68" s="1456"/>
      <c r="P68" s="1456"/>
      <c r="Q68" s="1456"/>
      <c r="R68" s="1456"/>
      <c r="S68" s="1456"/>
      <c r="T68" s="1456"/>
      <c r="U68" s="1456"/>
      <c r="V68" s="1456"/>
      <c r="W68" s="1456"/>
      <c r="X68" s="1456"/>
      <c r="Y68" s="1456"/>
      <c r="Z68" s="1456"/>
      <c r="AA68" s="1456"/>
      <c r="AB68" s="1456"/>
      <c r="AC68" s="1456"/>
      <c r="AD68" s="1456"/>
      <c r="AE68" s="1456"/>
      <c r="AF68" s="1456"/>
      <c r="AG68" s="1456"/>
      <c r="AH68" s="1456"/>
      <c r="AI68" s="1456"/>
      <c r="AJ68" s="1456"/>
      <c r="AK68" s="1456"/>
      <c r="AL68" s="1401"/>
    </row>
    <row r="69" spans="2:38" ht="3" customHeight="1">
      <c r="B69" s="1390"/>
      <c r="C69" s="1457"/>
      <c r="D69" s="1457"/>
      <c r="E69" s="1457"/>
      <c r="F69" s="1457"/>
      <c r="G69" s="1457"/>
      <c r="H69" s="1457"/>
      <c r="I69" s="1457"/>
      <c r="J69" s="1457"/>
      <c r="K69" s="1457"/>
      <c r="L69" s="1457"/>
      <c r="M69" s="1457"/>
      <c r="N69" s="1457"/>
      <c r="O69" s="1457"/>
      <c r="P69" s="1457"/>
      <c r="Q69" s="1457"/>
      <c r="R69" s="1457"/>
      <c r="S69" s="1457"/>
      <c r="T69" s="1392"/>
      <c r="U69" s="1390"/>
      <c r="V69" s="1457"/>
      <c r="W69" s="1457"/>
      <c r="X69" s="1457"/>
      <c r="Y69" s="1457"/>
      <c r="Z69" s="1457"/>
      <c r="AA69" s="1457"/>
      <c r="AB69" s="1457"/>
      <c r="AC69" s="1457"/>
      <c r="AD69" s="1457"/>
      <c r="AE69" s="1457"/>
      <c r="AF69" s="1457"/>
      <c r="AG69" s="1457"/>
      <c r="AH69" s="1457"/>
      <c r="AI69" s="1457"/>
      <c r="AJ69" s="1457"/>
      <c r="AK69" s="1457"/>
      <c r="AL69" s="1392"/>
    </row>
    <row r="70" spans="2:38">
      <c r="B70" s="1458" t="s">
        <v>966</v>
      </c>
      <c r="C70" s="1459"/>
      <c r="D70" s="1459"/>
      <c r="E70" s="1459"/>
      <c r="F70" s="1459"/>
      <c r="G70" s="1459"/>
      <c r="H70" s="1459"/>
      <c r="I70" s="1459"/>
      <c r="J70" s="1459"/>
      <c r="K70" s="1459"/>
      <c r="L70" s="1459"/>
      <c r="M70" s="1459"/>
      <c r="N70" s="1459"/>
      <c r="O70" s="1459"/>
      <c r="P70" s="1459"/>
      <c r="Q70" s="467"/>
      <c r="R70" s="1443"/>
      <c r="S70" s="1444"/>
      <c r="T70" s="462"/>
      <c r="U70" s="1460" t="s">
        <v>967</v>
      </c>
      <c r="V70" s="1394"/>
      <c r="W70" s="1394"/>
      <c r="X70" s="1394"/>
      <c r="Y70" s="1394"/>
      <c r="Z70" s="1394"/>
      <c r="AA70" s="1394"/>
      <c r="AB70" s="1394"/>
      <c r="AC70" s="1394"/>
      <c r="AD70" s="1394"/>
      <c r="AE70" s="1394"/>
      <c r="AF70" s="1394"/>
      <c r="AG70" s="1394"/>
      <c r="AH70" s="1394"/>
      <c r="AI70" s="1394"/>
      <c r="AJ70" s="1394"/>
      <c r="AK70" s="1394"/>
      <c r="AL70" s="1461"/>
    </row>
    <row r="71" spans="2:38" ht="3" customHeight="1">
      <c r="B71" s="468"/>
      <c r="C71" s="416"/>
      <c r="D71" s="416"/>
      <c r="E71" s="416"/>
      <c r="F71" s="416"/>
      <c r="G71" s="416"/>
      <c r="H71" s="416"/>
      <c r="I71" s="416"/>
      <c r="J71" s="416"/>
      <c r="K71" s="416"/>
      <c r="L71" s="416"/>
      <c r="M71" s="416"/>
      <c r="N71" s="416"/>
      <c r="O71" s="469"/>
      <c r="P71" s="469"/>
      <c r="Q71" s="469"/>
      <c r="R71" s="469"/>
      <c r="S71" s="469"/>
      <c r="T71" s="462"/>
      <c r="U71" s="469"/>
      <c r="V71" s="469"/>
      <c r="W71" s="469"/>
      <c r="X71" s="469"/>
      <c r="Y71" s="469"/>
      <c r="Z71" s="469"/>
      <c r="AA71" s="469"/>
      <c r="AB71" s="469"/>
      <c r="AC71" s="469"/>
      <c r="AD71" s="469"/>
      <c r="AE71" s="469"/>
      <c r="AF71" s="469"/>
      <c r="AG71" s="469"/>
      <c r="AH71" s="469"/>
      <c r="AI71" s="469"/>
      <c r="AJ71" s="469"/>
      <c r="AK71" s="469"/>
      <c r="AL71" s="462"/>
    </row>
    <row r="72" spans="2:38">
      <c r="B72" s="1458" t="s">
        <v>968</v>
      </c>
      <c r="C72" s="1459"/>
      <c r="D72" s="1459"/>
      <c r="E72" s="1459"/>
      <c r="F72" s="1459"/>
      <c r="G72" s="1465"/>
      <c r="H72" s="1630"/>
      <c r="I72" s="1631"/>
      <c r="J72" s="1609" t="s">
        <v>969</v>
      </c>
      <c r="K72" s="1385"/>
      <c r="L72" s="1385"/>
      <c r="M72" s="1385"/>
      <c r="N72" s="1385"/>
      <c r="O72" s="1385"/>
      <c r="P72" s="1385"/>
      <c r="Q72" s="1465"/>
      <c r="R72" s="1414"/>
      <c r="S72" s="1415"/>
      <c r="T72" s="462"/>
      <c r="U72" s="1458" t="s">
        <v>970</v>
      </c>
      <c r="V72" s="1459"/>
      <c r="W72" s="1459"/>
      <c r="X72" s="1459"/>
      <c r="Y72" s="1459"/>
      <c r="Z72" s="1459"/>
      <c r="AA72" s="1459"/>
      <c r="AB72" s="1459"/>
      <c r="AC72" s="1459"/>
      <c r="AD72" s="1459"/>
      <c r="AE72" s="1459"/>
      <c r="AF72" s="1459"/>
      <c r="AG72" s="1459"/>
      <c r="AH72" s="1459"/>
      <c r="AI72" s="1465"/>
      <c r="AJ72" s="1414"/>
      <c r="AK72" s="1415"/>
      <c r="AL72" s="470"/>
    </row>
    <row r="73" spans="2:38" ht="3" customHeight="1">
      <c r="B73" s="471"/>
      <c r="C73" s="472"/>
      <c r="D73" s="472"/>
      <c r="E73" s="472"/>
      <c r="F73" s="472"/>
      <c r="G73" s="472"/>
      <c r="H73" s="472"/>
      <c r="I73" s="472"/>
      <c r="J73" s="469"/>
      <c r="K73" s="469"/>
      <c r="L73" s="469"/>
      <c r="M73" s="469"/>
      <c r="N73" s="469"/>
      <c r="O73" s="469"/>
      <c r="P73" s="469"/>
      <c r="Q73" s="469"/>
      <c r="R73" s="469"/>
      <c r="S73" s="469"/>
      <c r="T73" s="462"/>
      <c r="U73" s="469"/>
      <c r="V73" s="469"/>
      <c r="W73" s="469"/>
      <c r="X73" s="469"/>
      <c r="Y73" s="469"/>
      <c r="Z73" s="469"/>
      <c r="AA73" s="469"/>
      <c r="AB73" s="469"/>
      <c r="AC73" s="469"/>
      <c r="AD73" s="469"/>
      <c r="AE73" s="469"/>
      <c r="AF73" s="469"/>
      <c r="AG73" s="469"/>
      <c r="AH73" s="469"/>
      <c r="AI73" s="469"/>
      <c r="AJ73" s="469"/>
      <c r="AK73" s="469"/>
      <c r="AL73" s="462"/>
    </row>
    <row r="74" spans="2:38">
      <c r="B74" s="1458" t="s">
        <v>971</v>
      </c>
      <c r="C74" s="1459"/>
      <c r="D74" s="1459"/>
      <c r="E74" s="1459"/>
      <c r="F74" s="1459"/>
      <c r="G74" s="1459"/>
      <c r="H74" s="1459"/>
      <c r="I74" s="1459"/>
      <c r="J74" s="1459"/>
      <c r="K74" s="1459"/>
      <c r="L74" s="1459"/>
      <c r="M74" s="1459"/>
      <c r="N74" s="1459"/>
      <c r="O74" s="1459"/>
      <c r="P74" s="1459"/>
      <c r="Q74" s="469"/>
      <c r="R74" s="1443"/>
      <c r="S74" s="1444"/>
      <c r="T74" s="462"/>
      <c r="U74" s="1458" t="s">
        <v>972</v>
      </c>
      <c r="V74" s="1385"/>
      <c r="W74" s="1385"/>
      <c r="X74" s="1385"/>
      <c r="Y74" s="1465"/>
      <c r="Z74" s="1443"/>
      <c r="AA74" s="1444"/>
      <c r="AB74" s="1601" t="s">
        <v>1074</v>
      </c>
      <c r="AC74" s="1445"/>
      <c r="AD74" s="1445"/>
      <c r="AE74" s="1445"/>
      <c r="AF74" s="1445"/>
      <c r="AG74" s="1445"/>
      <c r="AH74" s="1445"/>
      <c r="AI74" s="1629"/>
      <c r="AJ74" s="1443"/>
      <c r="AK74" s="1444"/>
      <c r="AL74" s="470"/>
    </row>
    <row r="75" spans="2:38" ht="3" customHeight="1">
      <c r="B75" s="471"/>
      <c r="C75" s="472"/>
      <c r="D75" s="472"/>
      <c r="E75" s="472"/>
      <c r="F75" s="472"/>
      <c r="G75" s="472"/>
      <c r="H75" s="472"/>
      <c r="I75" s="472"/>
      <c r="J75" s="472"/>
      <c r="K75" s="472"/>
      <c r="L75" s="472"/>
      <c r="M75" s="472"/>
      <c r="N75" s="472"/>
      <c r="O75" s="472"/>
      <c r="P75" s="472"/>
      <c r="Q75" s="472"/>
      <c r="R75" s="472"/>
      <c r="S75" s="469"/>
      <c r="T75" s="462"/>
      <c r="U75" s="469"/>
      <c r="V75" s="469"/>
      <c r="W75" s="469"/>
      <c r="X75" s="469"/>
      <c r="Y75" s="469"/>
      <c r="Z75" s="416"/>
      <c r="AA75" s="416"/>
      <c r="AB75" s="469"/>
      <c r="AC75" s="469"/>
      <c r="AD75" s="469"/>
      <c r="AE75" s="469"/>
      <c r="AF75" s="469"/>
      <c r="AG75" s="469"/>
      <c r="AH75" s="469"/>
      <c r="AI75" s="469"/>
      <c r="AJ75" s="469"/>
      <c r="AK75" s="416"/>
      <c r="AL75" s="473"/>
    </row>
    <row r="76" spans="2:38">
      <c r="B76" s="1458" t="s">
        <v>1075</v>
      </c>
      <c r="C76" s="1459"/>
      <c r="D76" s="1459"/>
      <c r="E76" s="1459"/>
      <c r="F76" s="1459"/>
      <c r="G76" s="1465"/>
      <c r="H76" s="1443"/>
      <c r="I76" s="1444"/>
      <c r="J76" s="1627" t="s">
        <v>973</v>
      </c>
      <c r="K76" s="1632"/>
      <c r="L76" s="1632"/>
      <c r="M76" s="1632"/>
      <c r="N76" s="1632"/>
      <c r="O76" s="1632"/>
      <c r="P76" s="1632"/>
      <c r="Q76" s="1633"/>
      <c r="R76" s="1443"/>
      <c r="S76" s="1444"/>
      <c r="T76" s="462"/>
      <c r="U76" s="1460" t="s">
        <v>974</v>
      </c>
      <c r="V76" s="1394"/>
      <c r="W76" s="1394"/>
      <c r="X76" s="1394"/>
      <c r="Y76" s="1394"/>
      <c r="Z76" s="1394"/>
      <c r="AA76" s="1394"/>
      <c r="AB76" s="1394"/>
      <c r="AC76" s="1394"/>
      <c r="AD76" s="1394"/>
      <c r="AE76" s="1394"/>
      <c r="AF76" s="1394"/>
      <c r="AG76" s="1394"/>
      <c r="AH76" s="1394"/>
      <c r="AI76" s="1394"/>
      <c r="AJ76" s="1394"/>
      <c r="AK76" s="1394"/>
      <c r="AL76" s="1461"/>
    </row>
    <row r="77" spans="2:38" ht="3" customHeight="1">
      <c r="B77" s="474"/>
      <c r="C77" s="475"/>
      <c r="D77" s="475"/>
      <c r="E77" s="475"/>
      <c r="F77" s="475"/>
      <c r="G77" s="475"/>
      <c r="H77" s="416"/>
      <c r="I77" s="416"/>
      <c r="J77" s="469"/>
      <c r="K77" s="469"/>
      <c r="L77" s="469"/>
      <c r="M77" s="469"/>
      <c r="N77" s="469"/>
      <c r="O77" s="469"/>
      <c r="P77" s="469"/>
      <c r="Q77" s="469"/>
      <c r="R77" s="469"/>
      <c r="S77" s="469"/>
      <c r="T77" s="462"/>
      <c r="U77" s="476"/>
      <c r="V77" s="476"/>
      <c r="W77" s="476"/>
      <c r="X77" s="476"/>
      <c r="Y77" s="476"/>
      <c r="Z77" s="476"/>
      <c r="AA77" s="476"/>
      <c r="AB77" s="476"/>
      <c r="AC77" s="476"/>
      <c r="AD77" s="476"/>
      <c r="AE77" s="476"/>
      <c r="AF77" s="476"/>
      <c r="AG77" s="476"/>
      <c r="AH77" s="476"/>
      <c r="AI77" s="476"/>
      <c r="AJ77" s="476"/>
      <c r="AK77" s="476"/>
      <c r="AL77" s="477"/>
    </row>
    <row r="78" spans="2:38">
      <c r="B78" s="1458" t="s">
        <v>1046</v>
      </c>
      <c r="C78" s="1459"/>
      <c r="D78" s="1459"/>
      <c r="E78" s="1459"/>
      <c r="F78" s="1459"/>
      <c r="G78" s="1459"/>
      <c r="H78" s="1459"/>
      <c r="I78" s="1459"/>
      <c r="J78" s="1459"/>
      <c r="K78" s="1459"/>
      <c r="L78" s="1459"/>
      <c r="M78" s="1459"/>
      <c r="N78" s="1459"/>
      <c r="O78" s="1459"/>
      <c r="P78" s="1459"/>
      <c r="Q78" s="467"/>
      <c r="R78" s="1443"/>
      <c r="S78" s="1444"/>
      <c r="T78" s="462"/>
      <c r="U78" s="1458" t="s">
        <v>975</v>
      </c>
      <c r="V78" s="1385"/>
      <c r="W78" s="1385"/>
      <c r="X78" s="1385"/>
      <c r="Y78" s="1385"/>
      <c r="Z78" s="1465"/>
      <c r="AA78" s="1443"/>
      <c r="AB78" s="1444"/>
      <c r="AC78" s="1609" t="s">
        <v>976</v>
      </c>
      <c r="AD78" s="1459"/>
      <c r="AE78" s="1459"/>
      <c r="AF78" s="1459"/>
      <c r="AG78" s="1459"/>
      <c r="AH78" s="1459"/>
      <c r="AI78" s="1465"/>
      <c r="AJ78" s="1414"/>
      <c r="AK78" s="1415"/>
      <c r="AL78" s="470"/>
    </row>
    <row r="79" spans="2:38" ht="3" customHeight="1">
      <c r="B79" s="471"/>
      <c r="C79" s="472"/>
      <c r="D79" s="472"/>
      <c r="E79" s="472"/>
      <c r="F79" s="472"/>
      <c r="G79" s="472"/>
      <c r="H79" s="472"/>
      <c r="I79" s="472"/>
      <c r="J79" s="472"/>
      <c r="K79" s="472"/>
      <c r="L79" s="472"/>
      <c r="M79" s="469"/>
      <c r="N79" s="469"/>
      <c r="O79" s="469"/>
      <c r="P79" s="469"/>
      <c r="Q79" s="469"/>
      <c r="R79" s="469"/>
      <c r="S79" s="469"/>
      <c r="T79" s="462"/>
      <c r="U79" s="475"/>
      <c r="V79" s="475"/>
      <c r="W79" s="475"/>
      <c r="X79" s="475"/>
      <c r="Y79" s="475"/>
      <c r="Z79" s="475"/>
      <c r="AA79" s="469"/>
      <c r="AB79" s="469"/>
      <c r="AC79" s="469"/>
      <c r="AD79" s="475"/>
      <c r="AE79" s="475"/>
      <c r="AF79" s="475"/>
      <c r="AG79" s="475"/>
      <c r="AH79" s="475"/>
      <c r="AI79" s="475"/>
      <c r="AJ79" s="475"/>
      <c r="AK79" s="469"/>
      <c r="AL79" s="462"/>
    </row>
    <row r="80" spans="2:38">
      <c r="B80" s="1454" t="s">
        <v>1060</v>
      </c>
      <c r="C80" s="1455"/>
      <c r="D80" s="1455"/>
      <c r="E80" s="1455"/>
      <c r="F80" s="1455"/>
      <c r="G80" s="1455"/>
      <c r="H80" s="1455"/>
      <c r="I80" s="1455"/>
      <c r="J80" s="1455"/>
      <c r="K80" s="1455"/>
      <c r="L80" s="1455"/>
      <c r="M80" s="1455"/>
      <c r="N80" s="1455"/>
      <c r="O80" s="1455"/>
      <c r="P80" s="1455"/>
      <c r="Q80" s="469"/>
      <c r="R80" s="469"/>
      <c r="S80" s="469"/>
      <c r="T80" s="462"/>
      <c r="U80" s="1458" t="s">
        <v>977</v>
      </c>
      <c r="V80" s="1385"/>
      <c r="W80" s="1385"/>
      <c r="X80" s="1385"/>
      <c r="Y80" s="1385"/>
      <c r="Z80" s="1465"/>
      <c r="AA80" s="1443"/>
      <c r="AB80" s="1444"/>
      <c r="AC80" s="1609" t="s">
        <v>978</v>
      </c>
      <c r="AD80" s="1459"/>
      <c r="AE80" s="1459"/>
      <c r="AF80" s="1459"/>
      <c r="AG80" s="1459"/>
      <c r="AH80" s="1459"/>
      <c r="AI80" s="1465"/>
      <c r="AJ80" s="1414"/>
      <c r="AK80" s="1415"/>
      <c r="AL80" s="470"/>
    </row>
    <row r="81" spans="2:45" ht="3" customHeight="1">
      <c r="B81" s="1454"/>
      <c r="C81" s="1455"/>
      <c r="D81" s="1455"/>
      <c r="E81" s="1455"/>
      <c r="F81" s="1455"/>
      <c r="G81" s="1455"/>
      <c r="H81" s="1455"/>
      <c r="I81" s="1455"/>
      <c r="J81" s="1455"/>
      <c r="K81" s="1455"/>
      <c r="L81" s="1455"/>
      <c r="M81" s="1455"/>
      <c r="N81" s="1455"/>
      <c r="O81" s="1455"/>
      <c r="P81" s="1455"/>
      <c r="Q81" s="469"/>
      <c r="R81" s="469"/>
      <c r="S81" s="469"/>
      <c r="T81" s="462"/>
      <c r="U81" s="469"/>
      <c r="V81" s="469"/>
      <c r="W81" s="475"/>
      <c r="X81" s="475"/>
      <c r="Y81" s="475"/>
      <c r="Z81" s="475"/>
      <c r="AA81" s="469"/>
      <c r="AB81" s="469"/>
      <c r="AC81" s="469"/>
      <c r="AD81" s="469"/>
      <c r="AE81" s="469"/>
      <c r="AF81" s="475"/>
      <c r="AG81" s="475"/>
      <c r="AH81" s="475"/>
      <c r="AI81" s="475"/>
      <c r="AJ81" s="475"/>
      <c r="AK81" s="469"/>
      <c r="AL81" s="462"/>
    </row>
    <row r="82" spans="2:45">
      <c r="B82" s="1454"/>
      <c r="C82" s="1455"/>
      <c r="D82" s="1455"/>
      <c r="E82" s="1455"/>
      <c r="F82" s="1455"/>
      <c r="G82" s="1455"/>
      <c r="H82" s="1455"/>
      <c r="I82" s="1455"/>
      <c r="J82" s="1455"/>
      <c r="K82" s="1455"/>
      <c r="L82" s="1455"/>
      <c r="M82" s="1455"/>
      <c r="N82" s="1455"/>
      <c r="O82" s="1455"/>
      <c r="P82" s="1455"/>
      <c r="Q82" s="467"/>
      <c r="R82" s="1443"/>
      <c r="S82" s="1444"/>
      <c r="T82" s="462"/>
      <c r="U82" s="1411" t="s">
        <v>979</v>
      </c>
      <c r="V82" s="1445"/>
      <c r="W82" s="1445"/>
      <c r="X82" s="1445"/>
      <c r="Y82" s="1445"/>
      <c r="Z82" s="1445"/>
      <c r="AA82" s="1445"/>
      <c r="AB82" s="1445"/>
      <c r="AC82" s="1413" t="s">
        <v>980</v>
      </c>
      <c r="AD82" s="1413"/>
      <c r="AE82" s="1413"/>
      <c r="AF82" s="1413"/>
      <c r="AG82" s="1385" t="s">
        <v>981</v>
      </c>
      <c r="AH82" s="1385"/>
      <c r="AI82" s="1465"/>
      <c r="AJ82" s="1414"/>
      <c r="AK82" s="1415"/>
      <c r="AL82" s="470"/>
    </row>
    <row r="83" spans="2:45" ht="3" customHeight="1">
      <c r="B83" s="464"/>
      <c r="C83" s="465"/>
      <c r="D83" s="465"/>
      <c r="E83" s="465"/>
      <c r="F83" s="465"/>
      <c r="G83" s="465"/>
      <c r="H83" s="465"/>
      <c r="I83" s="465"/>
      <c r="J83" s="465"/>
      <c r="K83" s="465"/>
      <c r="L83" s="465"/>
      <c r="M83" s="465"/>
      <c r="N83" s="465"/>
      <c r="O83" s="465"/>
      <c r="P83" s="465"/>
      <c r="Q83" s="465"/>
      <c r="R83" s="465"/>
      <c r="S83" s="465"/>
      <c r="T83" s="478"/>
      <c r="U83" s="465"/>
      <c r="V83" s="465"/>
      <c r="W83" s="465"/>
      <c r="X83" s="465"/>
      <c r="Y83" s="465"/>
      <c r="Z83" s="465"/>
      <c r="AA83" s="465"/>
      <c r="AB83" s="465"/>
      <c r="AC83" s="465"/>
      <c r="AD83" s="465"/>
      <c r="AE83" s="465"/>
      <c r="AF83" s="465"/>
      <c r="AG83" s="465"/>
      <c r="AH83" s="465"/>
      <c r="AI83" s="465"/>
      <c r="AJ83" s="465"/>
      <c r="AK83" s="465"/>
      <c r="AL83" s="466"/>
    </row>
    <row r="84" spans="2:45" ht="10.95" customHeight="1">
      <c r="B84" s="1419" t="s">
        <v>1047</v>
      </c>
      <c r="C84" s="1420"/>
      <c r="D84" s="1420"/>
      <c r="E84" s="1420"/>
      <c r="F84" s="1420"/>
      <c r="G84" s="1420"/>
      <c r="H84" s="1420"/>
      <c r="I84" s="1420"/>
      <c r="J84" s="1420"/>
      <c r="K84" s="1420"/>
      <c r="L84" s="1420"/>
      <c r="M84" s="1420"/>
      <c r="N84" s="1420"/>
      <c r="O84" s="1420"/>
      <c r="P84" s="1420"/>
      <c r="Q84" s="1420"/>
      <c r="R84" s="1420"/>
      <c r="S84" s="1420"/>
      <c r="T84" s="1421"/>
      <c r="U84" s="1419" t="s">
        <v>1049</v>
      </c>
      <c r="V84" s="1420"/>
      <c r="W84" s="1420"/>
      <c r="X84" s="1420"/>
      <c r="Y84" s="1420"/>
      <c r="Z84" s="1420"/>
      <c r="AA84" s="1420"/>
      <c r="AB84" s="1420"/>
      <c r="AC84" s="1420"/>
      <c r="AD84" s="1420"/>
      <c r="AE84" s="1420"/>
      <c r="AF84" s="1420"/>
      <c r="AG84" s="1420"/>
      <c r="AH84" s="1420"/>
      <c r="AI84" s="1420"/>
      <c r="AJ84" s="1420"/>
      <c r="AK84" s="1420"/>
      <c r="AL84" s="1421"/>
    </row>
    <row r="85" spans="2:45" ht="10.95" customHeight="1">
      <c r="B85" s="1416" t="s">
        <v>1048</v>
      </c>
      <c r="C85" s="1417"/>
      <c r="D85" s="1417"/>
      <c r="E85" s="1417"/>
      <c r="F85" s="1417"/>
      <c r="G85" s="1417"/>
      <c r="H85" s="1417"/>
      <c r="I85" s="1417"/>
      <c r="J85" s="1417"/>
      <c r="K85" s="1417"/>
      <c r="L85" s="1417"/>
      <c r="M85" s="1417"/>
      <c r="N85" s="1417"/>
      <c r="O85" s="1417"/>
      <c r="P85" s="1417"/>
      <c r="Q85" s="1417"/>
      <c r="R85" s="1417"/>
      <c r="S85" s="1417"/>
      <c r="T85" s="1418"/>
      <c r="U85" s="1416" t="s">
        <v>1050</v>
      </c>
      <c r="V85" s="1417"/>
      <c r="W85" s="1417"/>
      <c r="X85" s="1417"/>
      <c r="Y85" s="1417"/>
      <c r="Z85" s="1417"/>
      <c r="AA85" s="1417"/>
      <c r="AB85" s="1417"/>
      <c r="AC85" s="1417"/>
      <c r="AD85" s="1417"/>
      <c r="AE85" s="1417"/>
      <c r="AF85" s="1417"/>
      <c r="AG85" s="1417"/>
      <c r="AH85" s="1417"/>
      <c r="AI85" s="1417"/>
      <c r="AJ85" s="1417"/>
      <c r="AK85" s="1417"/>
      <c r="AL85" s="1418"/>
    </row>
    <row r="86" spans="2:45" ht="10.95" customHeight="1">
      <c r="B86" s="1425"/>
      <c r="C86" s="1426"/>
      <c r="D86" s="1426"/>
      <c r="E86" s="1426"/>
      <c r="F86" s="1426"/>
      <c r="G86" s="1426"/>
      <c r="H86" s="1426"/>
      <c r="I86" s="1426"/>
      <c r="J86" s="1426"/>
      <c r="K86" s="1426"/>
      <c r="L86" s="1426"/>
      <c r="M86" s="1426"/>
      <c r="N86" s="1426"/>
      <c r="O86" s="1426"/>
      <c r="P86" s="1426"/>
      <c r="Q86" s="1426"/>
      <c r="R86" s="1426"/>
      <c r="S86" s="1426"/>
      <c r="T86" s="1427"/>
      <c r="U86" s="1422" t="s">
        <v>1051</v>
      </c>
      <c r="V86" s="1423"/>
      <c r="W86" s="1423"/>
      <c r="X86" s="1423"/>
      <c r="Y86" s="1423"/>
      <c r="Z86" s="1423"/>
      <c r="AA86" s="1423"/>
      <c r="AB86" s="1423"/>
      <c r="AC86" s="1423"/>
      <c r="AD86" s="1423"/>
      <c r="AE86" s="1423"/>
      <c r="AF86" s="1423"/>
      <c r="AG86" s="1423"/>
      <c r="AH86" s="1423"/>
      <c r="AI86" s="1423"/>
      <c r="AJ86" s="1423"/>
      <c r="AK86" s="1423"/>
      <c r="AL86" s="1424"/>
    </row>
    <row r="87" spans="2:45" ht="10.95" customHeight="1">
      <c r="B87" s="1425"/>
      <c r="C87" s="1426"/>
      <c r="D87" s="1426"/>
      <c r="E87" s="1426"/>
      <c r="F87" s="1426"/>
      <c r="G87" s="1426"/>
      <c r="H87" s="1426"/>
      <c r="I87" s="1426"/>
      <c r="J87" s="1426"/>
      <c r="K87" s="1426"/>
      <c r="L87" s="1426"/>
      <c r="M87" s="1426"/>
      <c r="N87" s="1426"/>
      <c r="O87" s="1426"/>
      <c r="P87" s="1426"/>
      <c r="Q87" s="1426"/>
      <c r="R87" s="1426"/>
      <c r="S87" s="1426"/>
      <c r="T87" s="1427"/>
      <c r="U87" s="1425"/>
      <c r="V87" s="1426"/>
      <c r="W87" s="1426"/>
      <c r="X87" s="1426"/>
      <c r="Y87" s="1426"/>
      <c r="Z87" s="1426"/>
      <c r="AA87" s="1426"/>
      <c r="AB87" s="1426"/>
      <c r="AC87" s="1426"/>
      <c r="AD87" s="1426"/>
      <c r="AE87" s="1426"/>
      <c r="AF87" s="1426"/>
      <c r="AG87" s="1426"/>
      <c r="AH87" s="1426"/>
      <c r="AI87" s="1426"/>
      <c r="AJ87" s="1426"/>
      <c r="AK87" s="1426"/>
      <c r="AL87" s="1427"/>
    </row>
    <row r="88" spans="2:45" ht="10.95" customHeight="1">
      <c r="B88" s="1425"/>
      <c r="C88" s="1426"/>
      <c r="D88" s="1426"/>
      <c r="E88" s="1426"/>
      <c r="F88" s="1426"/>
      <c r="G88" s="1426"/>
      <c r="H88" s="1426"/>
      <c r="I88" s="1426"/>
      <c r="J88" s="1426"/>
      <c r="K88" s="1426"/>
      <c r="L88" s="1426"/>
      <c r="M88" s="1426"/>
      <c r="N88" s="1426"/>
      <c r="O88" s="1426"/>
      <c r="P88" s="1426"/>
      <c r="Q88" s="1426"/>
      <c r="R88" s="1426"/>
      <c r="S88" s="1426"/>
      <c r="T88" s="1427"/>
      <c r="U88" s="1425"/>
      <c r="V88" s="1426"/>
      <c r="W88" s="1426"/>
      <c r="X88" s="1426"/>
      <c r="Y88" s="1426"/>
      <c r="Z88" s="1426"/>
      <c r="AA88" s="1426"/>
      <c r="AB88" s="1426"/>
      <c r="AC88" s="1426"/>
      <c r="AD88" s="1426"/>
      <c r="AE88" s="1426"/>
      <c r="AF88" s="1426"/>
      <c r="AG88" s="1426"/>
      <c r="AH88" s="1426"/>
      <c r="AI88" s="1426"/>
      <c r="AJ88" s="1426"/>
      <c r="AK88" s="1426"/>
      <c r="AL88" s="1427"/>
    </row>
    <row r="89" spans="2:45" ht="10.95" customHeight="1">
      <c r="B89" s="1425"/>
      <c r="C89" s="1426"/>
      <c r="D89" s="1426"/>
      <c r="E89" s="1426"/>
      <c r="F89" s="1426"/>
      <c r="G89" s="1426"/>
      <c r="H89" s="1426"/>
      <c r="I89" s="1426"/>
      <c r="J89" s="1426"/>
      <c r="K89" s="1426"/>
      <c r="L89" s="1426"/>
      <c r="M89" s="1426"/>
      <c r="N89" s="1426"/>
      <c r="O89" s="1426"/>
      <c r="P89" s="1426"/>
      <c r="Q89" s="1426"/>
      <c r="R89" s="1426"/>
      <c r="S89" s="1426"/>
      <c r="T89" s="1427"/>
      <c r="U89" s="1425"/>
      <c r="V89" s="1426"/>
      <c r="W89" s="1426"/>
      <c r="X89" s="1426"/>
      <c r="Y89" s="1426"/>
      <c r="Z89" s="1426"/>
      <c r="AA89" s="1426"/>
      <c r="AB89" s="1426"/>
      <c r="AC89" s="1426"/>
      <c r="AD89" s="1426"/>
      <c r="AE89" s="1426"/>
      <c r="AF89" s="1426"/>
      <c r="AG89" s="1426"/>
      <c r="AH89" s="1426"/>
      <c r="AI89" s="1426"/>
      <c r="AJ89" s="1426"/>
      <c r="AK89" s="1426"/>
      <c r="AL89" s="1427"/>
    </row>
    <row r="90" spans="2:45" ht="10.95" customHeight="1">
      <c r="B90" s="1428"/>
      <c r="C90" s="1429"/>
      <c r="D90" s="1429"/>
      <c r="E90" s="1429"/>
      <c r="F90" s="1429"/>
      <c r="G90" s="1429"/>
      <c r="H90" s="1429"/>
      <c r="I90" s="1429"/>
      <c r="J90" s="1429"/>
      <c r="K90" s="1429"/>
      <c r="L90" s="1429"/>
      <c r="M90" s="1429"/>
      <c r="N90" s="1429"/>
      <c r="O90" s="1429"/>
      <c r="P90" s="1429"/>
      <c r="Q90" s="1429"/>
      <c r="R90" s="1429"/>
      <c r="S90" s="1429"/>
      <c r="T90" s="1430"/>
      <c r="U90" s="1428"/>
      <c r="V90" s="1429"/>
      <c r="W90" s="1429"/>
      <c r="X90" s="1429"/>
      <c r="Y90" s="1429"/>
      <c r="Z90" s="1429"/>
      <c r="AA90" s="1429"/>
      <c r="AB90" s="1429"/>
      <c r="AC90" s="1429"/>
      <c r="AD90" s="1429"/>
      <c r="AE90" s="1429"/>
      <c r="AF90" s="1429"/>
      <c r="AG90" s="1429"/>
      <c r="AH90" s="1429"/>
      <c r="AI90" s="1429"/>
      <c r="AJ90" s="1429"/>
      <c r="AK90" s="1429"/>
      <c r="AL90" s="1430"/>
    </row>
    <row r="91" spans="2:45">
      <c r="B91" s="1399" t="s">
        <v>982</v>
      </c>
      <c r="C91" s="1400"/>
      <c r="D91" s="1400"/>
      <c r="E91" s="1400"/>
      <c r="F91" s="1400"/>
      <c r="G91" s="1400"/>
      <c r="H91" s="1400"/>
      <c r="I91" s="1400"/>
      <c r="J91" s="1400"/>
      <c r="K91" s="1400"/>
      <c r="L91" s="1400"/>
      <c r="M91" s="1400"/>
      <c r="N91" s="1400"/>
      <c r="O91" s="1400"/>
      <c r="P91" s="1400"/>
      <c r="Q91" s="1400"/>
      <c r="R91" s="1400"/>
      <c r="S91" s="1400"/>
      <c r="T91" s="1400"/>
      <c r="U91" s="1400"/>
      <c r="V91" s="1400"/>
      <c r="W91" s="1400"/>
      <c r="X91" s="1400"/>
      <c r="Y91" s="1400"/>
      <c r="Z91" s="1400"/>
      <c r="AA91" s="1400"/>
      <c r="AB91" s="1400"/>
      <c r="AC91" s="1400"/>
      <c r="AD91" s="1400"/>
      <c r="AE91" s="1400"/>
      <c r="AF91" s="1400"/>
      <c r="AG91" s="1400"/>
      <c r="AH91" s="1400"/>
      <c r="AI91" s="1400"/>
      <c r="AJ91" s="1400"/>
      <c r="AK91" s="1400"/>
      <c r="AL91" s="1401"/>
    </row>
    <row r="92" spans="2:45">
      <c r="B92" s="1466" t="s">
        <v>886</v>
      </c>
      <c r="C92" s="1467"/>
      <c r="D92" s="1467"/>
      <c r="E92" s="1467"/>
      <c r="F92" s="1467"/>
      <c r="G92" s="1467"/>
      <c r="H92" s="1467"/>
      <c r="I92" s="1467"/>
      <c r="J92" s="1468"/>
      <c r="K92" s="1405" t="s">
        <v>887</v>
      </c>
      <c r="L92" s="1406"/>
      <c r="M92" s="1407"/>
      <c r="N92" s="1405" t="s">
        <v>983</v>
      </c>
      <c r="O92" s="1406"/>
      <c r="P92" s="1407"/>
      <c r="Q92" s="1405" t="s">
        <v>889</v>
      </c>
      <c r="R92" s="1406"/>
      <c r="S92" s="1407"/>
      <c r="T92" s="1408" t="s">
        <v>984</v>
      </c>
      <c r="U92" s="1409"/>
      <c r="V92" s="1410"/>
      <c r="W92" s="1405" t="s">
        <v>891</v>
      </c>
      <c r="X92" s="1406"/>
      <c r="Y92" s="1407"/>
      <c r="AA92" s="1435" t="s">
        <v>879</v>
      </c>
      <c r="AB92" s="1435"/>
      <c r="AC92" s="1435"/>
      <c r="AD92" s="1435"/>
      <c r="AE92" s="1435"/>
      <c r="AF92" s="1435"/>
      <c r="AG92" s="1435"/>
      <c r="AH92" s="1435"/>
      <c r="AI92" s="1435"/>
      <c r="AJ92" s="1436" t="str">
        <f>IF('Work Scope'!M11="","",'Work Scope'!M11)</f>
        <v/>
      </c>
      <c r="AK92" s="1437"/>
      <c r="AL92" s="435"/>
    </row>
    <row r="93" spans="2:45">
      <c r="B93" s="431"/>
      <c r="C93" s="1431" t="s">
        <v>985</v>
      </c>
      <c r="D93" s="1431"/>
      <c r="E93" s="1431"/>
      <c r="F93" s="1431"/>
      <c r="G93" s="1431"/>
      <c r="H93" s="1431"/>
      <c r="I93" s="1431"/>
      <c r="J93" s="1431"/>
      <c r="K93" s="1432">
        <v>50</v>
      </c>
      <c r="L93" s="1432"/>
      <c r="M93" s="1432"/>
      <c r="N93" s="1433"/>
      <c r="O93" s="1433"/>
      <c r="P93" s="1433"/>
      <c r="Q93" s="1432" t="str">
        <f>IF(N93="","",(IF(N93&gt;K93,0,K93-N93)))</f>
        <v/>
      </c>
      <c r="R93" s="1432"/>
      <c r="S93" s="1432"/>
      <c r="T93" s="1434"/>
      <c r="U93" s="1434"/>
      <c r="V93" s="1434"/>
      <c r="W93" s="1432" t="str">
        <f>IFERROR(IF(T93="",Q93,(IF(T93="Y",IF((Q93-20)&gt;0, (Q93-20),0),Q93))),"")</f>
        <v/>
      </c>
      <c r="X93" s="1432"/>
      <c r="Y93" s="1432"/>
      <c r="AL93" s="432"/>
    </row>
    <row r="94" spans="2:45">
      <c r="B94" s="431"/>
      <c r="C94" s="1431" t="s">
        <v>987</v>
      </c>
      <c r="D94" s="1431"/>
      <c r="E94" s="1431"/>
      <c r="F94" s="1431"/>
      <c r="G94" s="1431"/>
      <c r="H94" s="1431"/>
      <c r="I94" s="1431"/>
      <c r="J94" s="1431"/>
      <c r="K94" s="1432">
        <v>50</v>
      </c>
      <c r="L94" s="1432"/>
      <c r="M94" s="1432"/>
      <c r="N94" s="1433"/>
      <c r="O94" s="1433"/>
      <c r="P94" s="1433"/>
      <c r="Q94" s="1432" t="str">
        <f t="shared" ref="Q94:Q96" si="2">IF(N94="","",(IF(N94&gt;K94,0,K94-N94)))</f>
        <v/>
      </c>
      <c r="R94" s="1432"/>
      <c r="S94" s="1432"/>
      <c r="T94" s="1434"/>
      <c r="U94" s="1434"/>
      <c r="V94" s="1434"/>
      <c r="W94" s="1432" t="str">
        <f t="shared" ref="W94:W96" si="3">IFERROR(IF(T94="",Q94,(IF(T94="Y",IF((Q94-20)&gt;0, (Q94-20),0),Q94))),"")</f>
        <v/>
      </c>
      <c r="X94" s="1432"/>
      <c r="Y94" s="1432"/>
      <c r="AA94" s="1476" t="s">
        <v>1008</v>
      </c>
      <c r="AB94" s="1476"/>
      <c r="AC94" s="1476"/>
      <c r="AD94" s="1476"/>
      <c r="AE94" s="1476"/>
      <c r="AF94" s="1476"/>
      <c r="AG94" s="1476"/>
      <c r="AH94" s="1476"/>
      <c r="AI94" s="1476"/>
      <c r="AJ94" s="1476"/>
      <c r="AK94" s="1476"/>
      <c r="AL94" s="432"/>
    </row>
    <row r="95" spans="2:45">
      <c r="B95" s="431"/>
      <c r="C95" s="1431" t="s">
        <v>989</v>
      </c>
      <c r="D95" s="1431"/>
      <c r="E95" s="1431"/>
      <c r="F95" s="1431"/>
      <c r="G95" s="1431"/>
      <c r="H95" s="1431"/>
      <c r="I95" s="1431"/>
      <c r="J95" s="1431"/>
      <c r="K95" s="1432">
        <v>50</v>
      </c>
      <c r="L95" s="1432"/>
      <c r="M95" s="1432"/>
      <c r="N95" s="1433"/>
      <c r="O95" s="1433"/>
      <c r="P95" s="1433"/>
      <c r="Q95" s="1432" t="str">
        <f t="shared" si="2"/>
        <v/>
      </c>
      <c r="R95" s="1432"/>
      <c r="S95" s="1432"/>
      <c r="T95" s="1434"/>
      <c r="U95" s="1434"/>
      <c r="V95" s="1434"/>
      <c r="W95" s="1432" t="str">
        <f t="shared" si="3"/>
        <v/>
      </c>
      <c r="X95" s="1432"/>
      <c r="Y95" s="1432"/>
      <c r="AA95" s="1475"/>
      <c r="AB95" s="1475"/>
      <c r="AC95" s="1475"/>
      <c r="AD95" s="1475"/>
      <c r="AE95" s="1475"/>
      <c r="AF95" s="1475"/>
      <c r="AG95" s="1475"/>
      <c r="AH95" s="1475"/>
      <c r="AI95" s="1475"/>
      <c r="AJ95" s="1475"/>
      <c r="AK95" s="1475"/>
      <c r="AL95" s="432"/>
      <c r="AS95" s="318"/>
    </row>
    <row r="96" spans="2:45">
      <c r="B96" s="431"/>
      <c r="C96" s="1431" t="s">
        <v>991</v>
      </c>
      <c r="D96" s="1431"/>
      <c r="E96" s="1431"/>
      <c r="F96" s="1431"/>
      <c r="G96" s="1431"/>
      <c r="H96" s="1431"/>
      <c r="I96" s="1431"/>
      <c r="J96" s="1431"/>
      <c r="K96" s="1432">
        <v>50</v>
      </c>
      <c r="L96" s="1432"/>
      <c r="M96" s="1432"/>
      <c r="N96" s="1433"/>
      <c r="O96" s="1433"/>
      <c r="P96" s="1433"/>
      <c r="Q96" s="1432" t="str">
        <f t="shared" si="2"/>
        <v/>
      </c>
      <c r="R96" s="1432"/>
      <c r="S96" s="1432"/>
      <c r="T96" s="1434"/>
      <c r="U96" s="1434"/>
      <c r="V96" s="1434"/>
      <c r="W96" s="1432" t="str">
        <f t="shared" si="3"/>
        <v/>
      </c>
      <c r="X96" s="1432"/>
      <c r="Y96" s="1432"/>
      <c r="AA96" s="1647" t="s">
        <v>1009</v>
      </c>
      <c r="AB96" s="1647"/>
      <c r="AC96" s="1647"/>
      <c r="AD96" s="1647"/>
      <c r="AE96" s="1647"/>
      <c r="AF96" s="1647"/>
      <c r="AG96" s="1647"/>
      <c r="AH96" s="1647"/>
      <c r="AI96" s="1647"/>
      <c r="AJ96" s="1647"/>
      <c r="AK96" s="1647"/>
      <c r="AL96" s="432"/>
    </row>
    <row r="97" spans="2:38">
      <c r="B97" s="431"/>
      <c r="C97" s="1431" t="s">
        <v>993</v>
      </c>
      <c r="D97" s="1431"/>
      <c r="E97" s="1431"/>
      <c r="F97" s="1431"/>
      <c r="G97" s="1431"/>
      <c r="H97" s="1431"/>
      <c r="I97" s="1431"/>
      <c r="J97" s="1431"/>
      <c r="K97" s="1432">
        <v>0</v>
      </c>
      <c r="L97" s="1432"/>
      <c r="M97" s="1432"/>
      <c r="N97" s="1433"/>
      <c r="O97" s="1433"/>
      <c r="P97" s="1433"/>
      <c r="Q97" s="1432">
        <v>0</v>
      </c>
      <c r="R97" s="1432"/>
      <c r="S97" s="1432"/>
      <c r="T97" s="1477" t="s">
        <v>431</v>
      </c>
      <c r="U97" s="1477"/>
      <c r="V97" s="1477"/>
      <c r="W97" s="1432">
        <v>0</v>
      </c>
      <c r="X97" s="1432"/>
      <c r="Y97" s="1432"/>
      <c r="AA97" s="489"/>
      <c r="AB97" s="1441" t="s">
        <v>1010</v>
      </c>
      <c r="AC97" s="1634"/>
      <c r="AD97" s="1634"/>
      <c r="AE97" s="1634"/>
      <c r="AF97" s="1634"/>
      <c r="AG97" s="1634"/>
      <c r="AH97" s="1634"/>
      <c r="AI97" s="1442"/>
      <c r="AJ97" s="1443"/>
      <c r="AK97" s="1444"/>
      <c r="AL97" s="432"/>
    </row>
    <row r="98" spans="2:38">
      <c r="B98" s="431"/>
      <c r="C98" s="1431" t="s">
        <v>995</v>
      </c>
      <c r="D98" s="1431"/>
      <c r="E98" s="1431"/>
      <c r="F98" s="1431"/>
      <c r="G98" s="1431"/>
      <c r="H98" s="1431"/>
      <c r="I98" s="1431"/>
      <c r="J98" s="1431"/>
      <c r="K98" s="1432">
        <v>100</v>
      </c>
      <c r="L98" s="1432"/>
      <c r="M98" s="1432"/>
      <c r="N98" s="1433">
        <v>0</v>
      </c>
      <c r="O98" s="1433"/>
      <c r="P98" s="1433"/>
      <c r="Q98" s="1432">
        <f t="shared" ref="Q98:Q99" si="4">IF(N98="","",(IF(N98&gt;K98,0,K98-N98)))</f>
        <v>100</v>
      </c>
      <c r="R98" s="1432"/>
      <c r="S98" s="1432"/>
      <c r="T98" s="1434"/>
      <c r="U98" s="1434"/>
      <c r="V98" s="1434"/>
      <c r="W98" s="1432">
        <f t="shared" ref="W98:W99" si="5">IFERROR(IF(T98="",Q98,(IF(T98="Y",IF((Q98-20)&gt;0, (Q98-20),0),Q98))),"")</f>
        <v>100</v>
      </c>
      <c r="X98" s="1432"/>
      <c r="Y98" s="1432"/>
      <c r="Z98" s="465"/>
      <c r="AA98" s="488"/>
      <c r="AB98" s="1483"/>
      <c r="AC98" s="1483"/>
      <c r="AD98" s="1483"/>
      <c r="AE98" s="1483"/>
      <c r="AF98" s="1483"/>
      <c r="AG98" s="1483"/>
      <c r="AH98" s="1483"/>
      <c r="AI98" s="1483"/>
      <c r="AJ98" s="1445"/>
      <c r="AK98" s="1445"/>
      <c r="AL98" s="466"/>
    </row>
    <row r="99" spans="2:38">
      <c r="B99" s="431"/>
      <c r="C99" s="1431" t="s">
        <v>997</v>
      </c>
      <c r="D99" s="1431"/>
      <c r="E99" s="1431"/>
      <c r="F99" s="1431"/>
      <c r="G99" s="1431"/>
      <c r="H99" s="1431"/>
      <c r="I99" s="1431"/>
      <c r="J99" s="1431"/>
      <c r="K99" s="1432">
        <v>100</v>
      </c>
      <c r="L99" s="1432"/>
      <c r="M99" s="1432"/>
      <c r="N99" s="1433"/>
      <c r="O99" s="1433"/>
      <c r="P99" s="1433"/>
      <c r="Q99" s="1432" t="str">
        <f t="shared" si="4"/>
        <v/>
      </c>
      <c r="R99" s="1432"/>
      <c r="S99" s="1432"/>
      <c r="T99" s="1434"/>
      <c r="U99" s="1434"/>
      <c r="V99" s="1434"/>
      <c r="W99" s="1432" t="str">
        <f t="shared" si="5"/>
        <v/>
      </c>
      <c r="X99" s="1432"/>
      <c r="Y99" s="1432"/>
      <c r="Z99" s="465"/>
      <c r="AA99" s="489"/>
      <c r="AB99" s="1472" t="s">
        <v>1011</v>
      </c>
      <c r="AC99" s="1473"/>
      <c r="AD99" s="1473"/>
      <c r="AE99" s="1473"/>
      <c r="AF99" s="1473"/>
      <c r="AG99" s="1473"/>
      <c r="AH99" s="1473"/>
      <c r="AI99" s="1474"/>
      <c r="AJ99" s="1443"/>
      <c r="AK99" s="1444"/>
      <c r="AL99" s="466"/>
    </row>
    <row r="100" spans="2:38" ht="3" customHeight="1">
      <c r="B100" s="431"/>
      <c r="C100" s="421"/>
      <c r="D100" s="421"/>
      <c r="E100" s="421"/>
      <c r="F100" s="421"/>
      <c r="G100" s="421"/>
      <c r="H100" s="421"/>
      <c r="I100" s="421"/>
      <c r="J100" s="421"/>
      <c r="K100" s="417"/>
      <c r="L100" s="417"/>
      <c r="M100" s="417"/>
      <c r="N100" s="415"/>
      <c r="O100" s="415"/>
      <c r="P100" s="415"/>
      <c r="Q100" s="415"/>
      <c r="R100" s="415"/>
      <c r="S100" s="415"/>
      <c r="T100" s="415"/>
      <c r="U100" s="415"/>
      <c r="V100" s="415"/>
      <c r="W100" s="415"/>
      <c r="X100" s="415"/>
      <c r="Y100" s="415"/>
      <c r="AA100" s="219"/>
      <c r="AB100" s="219"/>
      <c r="AC100" s="219"/>
      <c r="AD100" s="219"/>
      <c r="AE100" s="219"/>
      <c r="AF100" s="219"/>
      <c r="AG100" s="219"/>
      <c r="AH100" s="219"/>
      <c r="AI100" s="219"/>
      <c r="AJ100" s="219"/>
      <c r="AK100" s="219"/>
      <c r="AL100" s="432"/>
    </row>
    <row r="101" spans="2:38">
      <c r="B101" s="434"/>
      <c r="C101" s="1"/>
      <c r="D101" s="1"/>
      <c r="E101" s="1"/>
      <c r="F101" s="1"/>
      <c r="G101" s="1"/>
      <c r="H101" s="1"/>
      <c r="I101" s="1"/>
      <c r="J101" s="1"/>
      <c r="M101" s="1"/>
      <c r="N101" s="1"/>
      <c r="O101" s="1"/>
      <c r="P101" s="1"/>
      <c r="Q101" s="2"/>
      <c r="R101" s="1447" t="s">
        <v>998</v>
      </c>
      <c r="S101" s="1447"/>
      <c r="T101" s="1447"/>
      <c r="U101" s="1447"/>
      <c r="V101" s="1447"/>
      <c r="W101" s="1478">
        <f>IF(COUNT(W93:Y96)+COUNT(W98:Y99)=0,"",SUM(W93:Y99))</f>
        <v>100</v>
      </c>
      <c r="X101" s="1479"/>
      <c r="Y101" s="1480"/>
      <c r="Z101" s="1469" t="s">
        <v>1012</v>
      </c>
      <c r="AA101" s="1470"/>
      <c r="AB101" s="1470"/>
      <c r="AC101" s="1470"/>
      <c r="AD101" s="1470"/>
      <c r="AE101" s="1470"/>
      <c r="AF101" s="1470"/>
      <c r="AG101" s="1470"/>
      <c r="AH101" s="1470"/>
      <c r="AI101" s="1471"/>
      <c r="AJ101" s="1443"/>
      <c r="AK101" s="1444"/>
      <c r="AL101" s="432"/>
    </row>
    <row r="102" spans="2:38" ht="3" customHeight="1">
      <c r="B102" s="434"/>
      <c r="C102" s="1"/>
      <c r="D102" s="1"/>
      <c r="E102" s="1"/>
      <c r="F102" s="1"/>
      <c r="G102" s="1"/>
      <c r="H102" s="1"/>
      <c r="I102" s="1"/>
      <c r="J102" s="1"/>
      <c r="M102" s="1"/>
      <c r="N102" s="1"/>
      <c r="O102" s="1"/>
      <c r="P102" s="1"/>
      <c r="R102" s="420"/>
      <c r="S102" s="420"/>
      <c r="T102" s="420"/>
      <c r="U102" s="420"/>
      <c r="V102" s="420"/>
      <c r="W102" s="422"/>
      <c r="X102" s="422"/>
      <c r="Y102" s="422"/>
      <c r="AA102" s="485"/>
      <c r="AB102" s="485"/>
      <c r="AC102" s="485"/>
      <c r="AD102" s="485"/>
      <c r="AE102" s="485"/>
      <c r="AF102" s="485"/>
      <c r="AG102" s="485"/>
      <c r="AH102" s="485"/>
      <c r="AI102" s="485"/>
      <c r="AJ102" s="485"/>
      <c r="AK102" s="485"/>
      <c r="AL102" s="432"/>
    </row>
    <row r="103" spans="2:38" ht="12" customHeight="1">
      <c r="B103" s="1446" t="s">
        <v>902</v>
      </c>
      <c r="C103" s="1447"/>
      <c r="D103" s="1447"/>
      <c r="E103" s="1447"/>
      <c r="F103" s="1447"/>
      <c r="G103" s="1447"/>
      <c r="H103" s="1447"/>
      <c r="I103" s="1447"/>
      <c r="J103" s="1447"/>
      <c r="K103" s="1481" t="str">
        <f>IF(K52="","",K52)</f>
        <v/>
      </c>
      <c r="L103" s="1482"/>
      <c r="M103" s="1451" t="s">
        <v>999</v>
      </c>
      <c r="N103" s="1447"/>
      <c r="O103" s="1447"/>
      <c r="P103" s="1447"/>
      <c r="Q103" s="1448"/>
      <c r="R103" s="1481" t="str">
        <f>IF(R52="","",R52)</f>
        <v/>
      </c>
      <c r="S103" s="1482"/>
      <c r="T103" s="420"/>
      <c r="W103" s="422"/>
      <c r="X103" s="422"/>
      <c r="Y103" s="422"/>
      <c r="AA103" s="1635" t="s">
        <v>1065</v>
      </c>
      <c r="AB103" s="1636"/>
      <c r="AC103" s="1636"/>
      <c r="AD103" s="1636"/>
      <c r="AE103" s="1636"/>
      <c r="AF103" s="1636"/>
      <c r="AG103" s="1636"/>
      <c r="AH103" s="1636"/>
      <c r="AI103" s="1636"/>
      <c r="AJ103" s="1636"/>
      <c r="AK103" s="1637"/>
      <c r="AL103" s="432"/>
    </row>
    <row r="104" spans="2:38" ht="3" customHeight="1">
      <c r="B104" s="434"/>
      <c r="C104" s="1"/>
      <c r="D104" s="1"/>
      <c r="E104" s="1"/>
      <c r="F104" s="1"/>
      <c r="G104" s="1"/>
      <c r="H104" s="1"/>
      <c r="I104" s="1"/>
      <c r="J104" s="1"/>
      <c r="K104" s="303"/>
      <c r="L104" s="303"/>
      <c r="M104" s="1"/>
      <c r="N104" s="1"/>
      <c r="O104" s="1"/>
      <c r="P104" s="1"/>
      <c r="Q104" s="303"/>
      <c r="R104" s="303"/>
      <c r="S104" s="251"/>
      <c r="T104" s="251"/>
      <c r="U104" s="420"/>
      <c r="V104" s="420"/>
      <c r="W104" s="422"/>
      <c r="X104" s="422"/>
      <c r="Y104" s="422"/>
      <c r="AA104" s="1638"/>
      <c r="AB104" s="1426"/>
      <c r="AC104" s="1426"/>
      <c r="AD104" s="1426"/>
      <c r="AE104" s="1426"/>
      <c r="AF104" s="1426"/>
      <c r="AG104" s="1426"/>
      <c r="AH104" s="1426"/>
      <c r="AI104" s="1426"/>
      <c r="AJ104" s="1426"/>
      <c r="AK104" s="1639"/>
      <c r="AL104" s="432"/>
    </row>
    <row r="105" spans="2:38" ht="12" customHeight="1">
      <c r="B105" s="1446" t="s">
        <v>1000</v>
      </c>
      <c r="C105" s="1447"/>
      <c r="D105" s="1447"/>
      <c r="E105" s="1447"/>
      <c r="F105" s="1447"/>
      <c r="G105" s="1447"/>
      <c r="H105" s="1447"/>
      <c r="I105" s="1447"/>
      <c r="J105" s="1447"/>
      <c r="K105" s="1447"/>
      <c r="L105" s="1447"/>
      <c r="M105" s="1447"/>
      <c r="N105" s="1447"/>
      <c r="O105" s="1447"/>
      <c r="P105" s="1447"/>
      <c r="Q105" s="1447"/>
      <c r="R105" s="1447"/>
      <c r="S105" s="1447"/>
      <c r="T105" s="1447"/>
      <c r="U105" s="1447"/>
      <c r="V105" s="1447"/>
      <c r="W105" s="1448"/>
      <c r="X105" s="1449" t="str">
        <f>IF($L$12="","",IF($Y$12="","",(0.03*$L$12+(7.5*($Y$12+1)))))</f>
        <v/>
      </c>
      <c r="Y105" s="1450"/>
      <c r="AA105" s="1638"/>
      <c r="AB105" s="1426"/>
      <c r="AC105" s="1426"/>
      <c r="AD105" s="1426"/>
      <c r="AE105" s="1426"/>
      <c r="AF105" s="1426"/>
      <c r="AG105" s="1426"/>
      <c r="AH105" s="1426"/>
      <c r="AI105" s="1426"/>
      <c r="AJ105" s="1426"/>
      <c r="AK105" s="1639"/>
      <c r="AL105" s="432"/>
    </row>
    <row r="106" spans="2:38" ht="3" customHeight="1">
      <c r="B106" s="431"/>
      <c r="O106" s="2"/>
      <c r="W106" s="419"/>
      <c r="X106" s="417"/>
      <c r="Y106" s="417"/>
      <c r="AA106" s="1638"/>
      <c r="AB106" s="1426"/>
      <c r="AC106" s="1426"/>
      <c r="AD106" s="1426"/>
      <c r="AE106" s="1426"/>
      <c r="AF106" s="1426"/>
      <c r="AG106" s="1426"/>
      <c r="AH106" s="1426"/>
      <c r="AI106" s="1426"/>
      <c r="AJ106" s="1426"/>
      <c r="AK106" s="1639"/>
      <c r="AL106" s="432"/>
    </row>
    <row r="107" spans="2:38" ht="12" customHeight="1">
      <c r="B107" s="1446" t="s">
        <v>905</v>
      </c>
      <c r="C107" s="1447"/>
      <c r="D107" s="1447"/>
      <c r="E107" s="1447"/>
      <c r="F107" s="1447"/>
      <c r="G107" s="1447"/>
      <c r="H107" s="1447"/>
      <c r="I107" s="1447"/>
      <c r="J107" s="1447"/>
      <c r="K107" s="1447"/>
      <c r="L107" s="1447"/>
      <c r="M107" s="1447"/>
      <c r="N107" s="1447"/>
      <c r="O107" s="1447"/>
      <c r="P107" s="1447"/>
      <c r="Q107" s="1447"/>
      <c r="R107" s="1447"/>
      <c r="S107" s="1447"/>
      <c r="T107" s="1447"/>
      <c r="U107" s="1447"/>
      <c r="V107" s="1447"/>
      <c r="W107" s="1448"/>
      <c r="X107" s="1449">
        <f>IF(W101="","",IF(W101&gt;0,W101/4,""))</f>
        <v>25</v>
      </c>
      <c r="Y107" s="1450"/>
      <c r="AA107" s="1640"/>
      <c r="AB107" s="1429"/>
      <c r="AC107" s="1429"/>
      <c r="AD107" s="1429"/>
      <c r="AE107" s="1429"/>
      <c r="AF107" s="1429"/>
      <c r="AG107" s="1429"/>
      <c r="AH107" s="1429"/>
      <c r="AI107" s="1429"/>
      <c r="AJ107" s="1429"/>
      <c r="AK107" s="1641"/>
      <c r="AL107" s="432"/>
    </row>
    <row r="108" spans="2:38" ht="3" customHeight="1">
      <c r="B108" s="431"/>
      <c r="W108" s="419"/>
      <c r="X108" s="417"/>
      <c r="Y108" s="417"/>
      <c r="AA108" s="1487"/>
      <c r="AB108" s="1487"/>
      <c r="AC108" s="1487"/>
      <c r="AD108" s="1487"/>
      <c r="AE108" s="1487"/>
      <c r="AF108" s="1487"/>
      <c r="AG108" s="1487"/>
      <c r="AH108" s="1487"/>
      <c r="AI108" s="1487"/>
      <c r="AJ108" s="1487"/>
      <c r="AK108" s="1487"/>
      <c r="AL108" s="432"/>
    </row>
    <row r="109" spans="2:38" ht="12" customHeight="1">
      <c r="B109" s="1446" t="s">
        <v>1001</v>
      </c>
      <c r="C109" s="1447"/>
      <c r="D109" s="1447"/>
      <c r="E109" s="1447"/>
      <c r="F109" s="1447"/>
      <c r="G109" s="1447"/>
      <c r="H109" s="1447"/>
      <c r="I109" s="1447"/>
      <c r="J109" s="1447"/>
      <c r="K109" s="1447"/>
      <c r="L109" s="1447"/>
      <c r="M109" s="1447"/>
      <c r="N109" s="1447"/>
      <c r="O109" s="1447"/>
      <c r="P109" s="1447"/>
      <c r="Q109" s="1447"/>
      <c r="R109" s="1447"/>
      <c r="S109" s="1447"/>
      <c r="T109" s="1447"/>
      <c r="U109" s="1447"/>
      <c r="V109" s="1447"/>
      <c r="W109" s="1448"/>
      <c r="X109" s="1449" t="str">
        <f>IF(X105="","",IF(X107="",X105,X105+X107))</f>
        <v/>
      </c>
      <c r="Y109" s="1450"/>
      <c r="AA109" s="1642" t="s">
        <v>1002</v>
      </c>
      <c r="AB109" s="1642"/>
      <c r="AC109" s="1642"/>
      <c r="AD109" s="1642"/>
      <c r="AE109" s="1642"/>
      <c r="AF109" s="1642"/>
      <c r="AG109" s="1642"/>
      <c r="AH109" s="1642"/>
      <c r="AI109" s="1642"/>
      <c r="AJ109" s="1642"/>
      <c r="AK109" s="1642"/>
      <c r="AL109" s="432"/>
    </row>
    <row r="110" spans="2:38" ht="3" customHeight="1">
      <c r="B110" s="431"/>
      <c r="W110" s="419"/>
      <c r="X110" s="417"/>
      <c r="Y110" s="417"/>
      <c r="AA110" s="219"/>
      <c r="AB110" s="219"/>
      <c r="AC110" s="219"/>
      <c r="AD110" s="219"/>
      <c r="AE110" s="219"/>
      <c r="AF110" s="219"/>
      <c r="AG110" s="219"/>
      <c r="AH110" s="219"/>
      <c r="AI110" s="219"/>
      <c r="AJ110" s="219"/>
      <c r="AK110" s="219"/>
      <c r="AL110" s="432"/>
    </row>
    <row r="111" spans="2:38" ht="12" customHeight="1">
      <c r="B111" s="1446" t="s">
        <v>908</v>
      </c>
      <c r="C111" s="1447"/>
      <c r="D111" s="1447"/>
      <c r="E111" s="1447"/>
      <c r="F111" s="1447"/>
      <c r="G111" s="1447"/>
      <c r="H111" s="1447"/>
      <c r="I111" s="1447"/>
      <c r="J111" s="1447"/>
      <c r="K111" s="1447"/>
      <c r="L111" s="1447"/>
      <c r="M111" s="1447"/>
      <c r="N111" s="1447"/>
      <c r="O111" s="1447"/>
      <c r="P111" s="1447"/>
      <c r="Q111" s="1447"/>
      <c r="R111" s="1447"/>
      <c r="S111" s="1447"/>
      <c r="T111" s="1447"/>
      <c r="U111" s="1447"/>
      <c r="V111" s="1447"/>
      <c r="W111" s="1448"/>
      <c r="X111" s="1449" t="str">
        <f>IF(AJ92="","",IF(R103="","",IF(K103="","",0.052*AJ92*K103*R103)))</f>
        <v/>
      </c>
      <c r="Y111" s="1450"/>
      <c r="AA111" s="1486" t="s">
        <v>1003</v>
      </c>
      <c r="AB111" s="1486"/>
      <c r="AC111" s="1486"/>
      <c r="AD111" s="1486"/>
      <c r="AE111" s="1443"/>
      <c r="AF111" s="1444"/>
      <c r="AG111" s="1614" t="s">
        <v>1004</v>
      </c>
      <c r="AH111" s="1614"/>
      <c r="AI111" s="1614"/>
      <c r="AJ111" s="1614"/>
      <c r="AK111" s="436"/>
      <c r="AL111" s="432"/>
    </row>
    <row r="112" spans="2:38" ht="3" customHeight="1">
      <c r="B112" s="431"/>
      <c r="W112" s="419"/>
      <c r="X112" s="417"/>
      <c r="Y112" s="417"/>
      <c r="AA112" s="395"/>
      <c r="AB112" s="395"/>
      <c r="AC112" s="395"/>
      <c r="AD112" s="395"/>
      <c r="AE112" s="395"/>
      <c r="AF112" s="395"/>
      <c r="AG112" s="395"/>
      <c r="AH112" s="395"/>
      <c r="AI112" s="395"/>
      <c r="AJ112" s="395"/>
      <c r="AK112" s="395"/>
      <c r="AL112" s="432"/>
    </row>
    <row r="113" spans="2:38" ht="12" customHeight="1">
      <c r="B113" s="1446" t="s">
        <v>909</v>
      </c>
      <c r="C113" s="1447"/>
      <c r="D113" s="1447"/>
      <c r="E113" s="1447"/>
      <c r="F113" s="1447"/>
      <c r="G113" s="1447"/>
      <c r="H113" s="1447"/>
      <c r="I113" s="1447"/>
      <c r="J113" s="1447"/>
      <c r="K113" s="1447"/>
      <c r="L113" s="1447"/>
      <c r="M113" s="1447"/>
      <c r="N113" s="1447"/>
      <c r="O113" s="1447"/>
      <c r="P113" s="1447"/>
      <c r="Q113" s="1447"/>
      <c r="R113" s="1447"/>
      <c r="S113" s="1447"/>
      <c r="T113" s="1447"/>
      <c r="U113" s="1447"/>
      <c r="V113" s="1447"/>
      <c r="W113" s="1448"/>
      <c r="X113" s="1449" t="str">
        <f>IF(X109="","",IF(X111="","",X109-X111))</f>
        <v/>
      </c>
      <c r="Y113" s="1450"/>
      <c r="AA113" s="1486" t="s">
        <v>1005</v>
      </c>
      <c r="AB113" s="1486"/>
      <c r="AC113" s="1486"/>
      <c r="AD113" s="1486"/>
      <c r="AE113" s="1443"/>
      <c r="AF113" s="1444"/>
      <c r="AG113" s="1486" t="s">
        <v>1006</v>
      </c>
      <c r="AH113" s="1486"/>
      <c r="AI113" s="1486"/>
      <c r="AJ113" s="1486"/>
      <c r="AK113" s="436"/>
      <c r="AL113" s="432"/>
    </row>
    <row r="114" spans="2:38" ht="15" customHeight="1" thickBot="1">
      <c r="B114" s="482"/>
      <c r="C114" s="483" t="s">
        <v>1059</v>
      </c>
      <c r="D114" s="437"/>
      <c r="E114" s="437"/>
      <c r="F114" s="437"/>
      <c r="G114" s="437"/>
      <c r="H114" s="437"/>
      <c r="I114" s="437"/>
      <c r="J114" s="437"/>
      <c r="K114" s="437"/>
      <c r="L114" s="437"/>
      <c r="M114" s="437"/>
      <c r="N114" s="437"/>
      <c r="O114" s="437"/>
      <c r="P114" s="437"/>
      <c r="Q114" s="437"/>
      <c r="R114" s="437"/>
      <c r="S114" s="437"/>
      <c r="T114" s="437"/>
      <c r="U114" s="437"/>
      <c r="V114" s="437"/>
      <c r="W114" s="437"/>
      <c r="X114" s="437"/>
      <c r="Y114" s="437"/>
      <c r="Z114" s="437"/>
      <c r="AA114" s="437"/>
      <c r="AB114" s="437"/>
      <c r="AC114" s="437"/>
      <c r="AD114" s="437"/>
      <c r="AE114" s="486"/>
      <c r="AF114" s="486"/>
      <c r="AG114" s="487"/>
      <c r="AH114" s="487"/>
      <c r="AI114" s="487"/>
      <c r="AJ114" s="487"/>
      <c r="AK114" s="486"/>
      <c r="AL114" s="438"/>
    </row>
    <row r="115" spans="2:38" ht="3" customHeight="1">
      <c r="AA115" s="481"/>
      <c r="AB115" s="481"/>
      <c r="AC115" s="481"/>
      <c r="AD115" s="481"/>
      <c r="AE115" s="484"/>
      <c r="AF115" s="484"/>
      <c r="AG115" s="418"/>
      <c r="AH115" s="418"/>
      <c r="AI115" s="418"/>
      <c r="AJ115" s="418"/>
      <c r="AK115" s="484"/>
    </row>
    <row r="116" spans="2:38" ht="3" customHeight="1">
      <c r="B116" s="1484"/>
      <c r="C116" s="1273"/>
      <c r="D116" s="1273"/>
      <c r="E116" s="1273"/>
      <c r="F116" s="1273"/>
      <c r="G116" s="1273"/>
      <c r="H116" s="1273"/>
      <c r="I116" s="1273"/>
      <c r="J116" s="1273"/>
      <c r="K116" s="1273"/>
      <c r="L116" s="1273"/>
      <c r="M116" s="1273"/>
      <c r="N116" s="1273"/>
      <c r="O116" s="1273"/>
      <c r="P116" s="1273"/>
      <c r="Q116" s="1273"/>
      <c r="R116" s="1273"/>
      <c r="S116" s="1273"/>
      <c r="T116" s="1273"/>
      <c r="U116" s="1273"/>
      <c r="V116" s="1273"/>
      <c r="W116" s="1273"/>
      <c r="X116" s="1273"/>
      <c r="Y116" s="1273"/>
      <c r="Z116" s="1273"/>
      <c r="AA116" s="1273"/>
      <c r="AB116" s="1273"/>
      <c r="AC116" s="1273"/>
      <c r="AD116" s="1273"/>
      <c r="AE116" s="1273"/>
      <c r="AF116" s="1273"/>
      <c r="AG116" s="1273"/>
      <c r="AH116" s="1273"/>
      <c r="AI116" s="1273"/>
      <c r="AJ116" s="1273"/>
      <c r="AK116" s="1273"/>
      <c r="AL116" s="1485"/>
    </row>
    <row r="117" spans="2:38" ht="15.6">
      <c r="B117" s="1484" t="s">
        <v>1013</v>
      </c>
      <c r="C117" s="1273"/>
      <c r="D117" s="1273"/>
      <c r="E117" s="1273"/>
      <c r="F117" s="1273"/>
      <c r="G117" s="1273"/>
      <c r="H117" s="1273"/>
      <c r="I117" s="1273"/>
      <c r="J117" s="1273"/>
      <c r="K117" s="1273"/>
      <c r="L117" s="1273"/>
      <c r="M117" s="1273"/>
      <c r="N117" s="1273"/>
      <c r="O117" s="1273"/>
      <c r="P117" s="1273"/>
      <c r="Q117" s="1273"/>
      <c r="R117" s="1273"/>
      <c r="S117" s="1273"/>
      <c r="T117" s="1273"/>
      <c r="U117" s="1273"/>
      <c r="V117" s="1273"/>
      <c r="W117" s="1273"/>
      <c r="X117" s="1273"/>
      <c r="Y117" s="1273"/>
      <c r="Z117" s="1273"/>
      <c r="AA117" s="1273"/>
      <c r="AB117" s="1273"/>
      <c r="AC117" s="1273"/>
      <c r="AD117" s="1273"/>
      <c r="AE117" s="1273"/>
      <c r="AF117" s="1273"/>
      <c r="AG117" s="1273"/>
      <c r="AH117" s="1273"/>
      <c r="AI117" s="1273"/>
      <c r="AJ117" s="1273"/>
      <c r="AK117" s="1273"/>
      <c r="AL117" s="1485"/>
    </row>
    <row r="118" spans="2:38" ht="3" customHeight="1">
      <c r="B118" s="1505"/>
      <c r="C118" s="1506"/>
      <c r="D118" s="1506"/>
      <c r="E118" s="1506"/>
      <c r="F118" s="1506"/>
      <c r="G118" s="1506"/>
      <c r="H118" s="1506"/>
      <c r="I118" s="1506"/>
      <c r="J118" s="1506"/>
      <c r="K118" s="1506"/>
      <c r="L118" s="1506"/>
      <c r="M118" s="1506"/>
      <c r="N118" s="1506"/>
      <c r="O118" s="1506"/>
      <c r="P118" s="1506"/>
      <c r="Q118" s="1506"/>
      <c r="R118" s="1506"/>
      <c r="S118" s="1506"/>
      <c r="T118" s="1506"/>
      <c r="U118" s="1506"/>
      <c r="V118" s="1506"/>
      <c r="W118" s="1506"/>
      <c r="X118" s="1506"/>
      <c r="Y118" s="1506"/>
      <c r="Z118" s="1506"/>
      <c r="AA118" s="1506"/>
      <c r="AB118" s="1506"/>
      <c r="AC118" s="1506"/>
      <c r="AD118" s="1506"/>
      <c r="AE118" s="1506"/>
      <c r="AF118" s="1506"/>
      <c r="AG118" s="1506"/>
      <c r="AH118" s="1506"/>
      <c r="AI118" s="1506"/>
      <c r="AJ118" s="1506"/>
      <c r="AK118" s="1506"/>
      <c r="AL118" s="1507"/>
    </row>
    <row r="119" spans="2:38">
      <c r="B119" s="1508" t="s">
        <v>826</v>
      </c>
      <c r="C119" s="1509"/>
      <c r="D119" s="1509"/>
      <c r="E119" s="1509"/>
      <c r="F119" s="1509"/>
      <c r="G119" s="1509"/>
      <c r="H119" s="1509"/>
      <c r="I119" s="1509"/>
      <c r="J119" s="1509"/>
      <c r="K119" s="1509"/>
      <c r="L119" s="1509"/>
      <c r="M119" s="1509"/>
      <c r="N119" s="1509"/>
      <c r="O119" s="1509"/>
      <c r="P119" s="1509"/>
      <c r="Q119" s="1509"/>
      <c r="R119" s="1509"/>
      <c r="S119" s="1509"/>
      <c r="T119" s="1509"/>
      <c r="U119" s="1509"/>
      <c r="V119" s="1509"/>
      <c r="W119" s="1509"/>
      <c r="X119" s="1509"/>
      <c r="Y119" s="1509"/>
      <c r="Z119" s="1509"/>
      <c r="AA119" s="1509"/>
      <c r="AB119" s="1509"/>
      <c r="AC119" s="1509"/>
      <c r="AD119" s="1509"/>
      <c r="AE119" s="1509"/>
      <c r="AF119" s="1509"/>
      <c r="AG119" s="1509"/>
      <c r="AH119" s="1509"/>
      <c r="AI119" s="1509"/>
      <c r="AJ119" s="1509"/>
      <c r="AK119" s="1509"/>
      <c r="AL119" s="1510"/>
    </row>
    <row r="120" spans="2:38">
      <c r="B120" s="1488" t="s">
        <v>827</v>
      </c>
      <c r="C120" s="1435"/>
      <c r="D120" s="1435"/>
      <c r="E120" s="1435"/>
      <c r="F120" s="1435"/>
      <c r="G120" s="1435"/>
      <c r="H120" s="1435"/>
      <c r="I120" s="1435"/>
      <c r="J120" s="1435"/>
      <c r="K120" s="1435"/>
      <c r="L120" s="1435"/>
      <c r="M120" s="1435"/>
      <c r="N120" s="1435"/>
      <c r="O120" s="1435"/>
      <c r="P120" s="1435"/>
      <c r="Q120" s="1435"/>
      <c r="R120" s="1435"/>
      <c r="S120" s="1435"/>
      <c r="T120" s="1435"/>
      <c r="U120" s="1435"/>
      <c r="V120" s="1435"/>
      <c r="W120" s="1435"/>
      <c r="X120" s="1435"/>
      <c r="Y120" s="1435"/>
      <c r="Z120" s="1435"/>
      <c r="AA120" s="1435"/>
      <c r="AB120" s="1435"/>
      <c r="AC120" s="1435"/>
      <c r="AD120" s="1435"/>
      <c r="AE120" s="1435"/>
      <c r="AF120" s="1435"/>
      <c r="AG120" s="1435"/>
      <c r="AH120" s="1435"/>
      <c r="AI120" s="1435"/>
      <c r="AJ120" s="1435"/>
      <c r="AK120" s="1435"/>
      <c r="AL120" s="1489"/>
    </row>
    <row r="121" spans="2:38">
      <c r="B121" s="1488" t="s">
        <v>828</v>
      </c>
      <c r="C121" s="1435"/>
      <c r="D121" s="1435"/>
      <c r="E121" s="1435"/>
      <c r="F121" s="1435"/>
      <c r="G121" s="1435"/>
      <c r="H121" s="1435"/>
      <c r="I121" s="1435"/>
      <c r="J121" s="1435"/>
      <c r="K121" s="1435"/>
      <c r="L121" s="1435"/>
      <c r="M121" s="1435"/>
      <c r="N121" s="1435"/>
      <c r="O121" s="1435"/>
      <c r="P121" s="1435"/>
      <c r="Q121" s="1435"/>
      <c r="R121" s="1435"/>
      <c r="S121" s="1435"/>
      <c r="T121" s="1435"/>
      <c r="U121" s="1435"/>
      <c r="V121" s="1435"/>
      <c r="W121" s="1435"/>
      <c r="X121" s="1435"/>
      <c r="Y121" s="1435"/>
      <c r="Z121" s="1435"/>
      <c r="AA121" s="1435"/>
      <c r="AB121" s="1435"/>
      <c r="AC121" s="1435"/>
      <c r="AD121" s="1435"/>
      <c r="AE121" s="1435"/>
      <c r="AF121" s="1435"/>
      <c r="AG121" s="1435"/>
      <c r="AH121" s="1435"/>
      <c r="AI121" s="1435"/>
      <c r="AJ121" s="1435"/>
      <c r="AK121" s="1435"/>
      <c r="AL121" s="1489"/>
    </row>
    <row r="122" spans="2:38" ht="20.100000000000001" customHeight="1">
      <c r="B122" s="1511" t="s">
        <v>829</v>
      </c>
      <c r="C122" s="1262"/>
      <c r="D122" s="1262"/>
      <c r="E122" s="1262"/>
      <c r="F122" s="1262"/>
      <c r="G122" s="1262"/>
      <c r="H122" s="1262"/>
      <c r="I122" s="1262"/>
      <c r="J122" s="1262"/>
      <c r="K122" s="1262"/>
      <c r="L122" s="1262"/>
      <c r="M122" s="1262"/>
      <c r="N122" s="1262"/>
      <c r="O122" s="1262"/>
      <c r="P122" s="1262"/>
      <c r="Q122" s="1262"/>
      <c r="R122" s="1262"/>
      <c r="S122" s="1262"/>
      <c r="T122" s="1262"/>
      <c r="U122" s="1262"/>
      <c r="V122" s="1262"/>
      <c r="W122" s="1262"/>
      <c r="X122" s="1262"/>
      <c r="Y122" s="1262"/>
      <c r="Z122" s="1262"/>
      <c r="AA122" s="1262"/>
      <c r="AB122" s="1262"/>
      <c r="AC122" s="1262"/>
      <c r="AD122" s="1262"/>
      <c r="AE122" s="1262"/>
      <c r="AF122" s="1262"/>
      <c r="AG122" s="1262"/>
      <c r="AH122" s="1262"/>
      <c r="AI122" s="1262"/>
      <c r="AJ122" s="1262"/>
      <c r="AK122" s="1262"/>
      <c r="AL122" s="1512"/>
    </row>
    <row r="123" spans="2:38">
      <c r="B123" s="1488" t="s">
        <v>830</v>
      </c>
      <c r="C123" s="1435"/>
      <c r="D123" s="1435"/>
      <c r="E123" s="1435"/>
      <c r="F123" s="1435"/>
      <c r="G123" s="1435"/>
      <c r="H123" s="1435"/>
      <c r="I123" s="1435"/>
      <c r="J123" s="1435"/>
      <c r="K123" s="1435"/>
      <c r="L123" s="1435"/>
      <c r="M123" s="1435"/>
      <c r="N123" s="1435"/>
      <c r="O123" s="1435"/>
      <c r="P123" s="1435"/>
      <c r="Q123" s="1435"/>
      <c r="R123" s="1435"/>
      <c r="S123" s="1435"/>
      <c r="T123" s="1435"/>
      <c r="U123" s="1435"/>
      <c r="V123" s="1435"/>
      <c r="W123" s="1435"/>
      <c r="X123" s="1435"/>
      <c r="Y123" s="1435"/>
      <c r="Z123" s="1435"/>
      <c r="AA123" s="1435"/>
      <c r="AB123" s="1435"/>
      <c r="AC123" s="1435"/>
      <c r="AD123" s="1435"/>
      <c r="AE123" s="1435"/>
      <c r="AF123" s="1435"/>
      <c r="AG123" s="1435"/>
      <c r="AH123" s="1435"/>
      <c r="AI123" s="1435"/>
      <c r="AJ123" s="1435"/>
      <c r="AK123" s="1435"/>
      <c r="AL123" s="1489"/>
    </row>
    <row r="124" spans="2:38">
      <c r="B124" s="1490" t="s">
        <v>831</v>
      </c>
      <c r="C124" s="1491"/>
      <c r="D124" s="1491"/>
      <c r="E124" s="1491"/>
      <c r="F124" s="1491"/>
      <c r="G124" s="1491"/>
      <c r="H124" s="1491"/>
      <c r="I124" s="1491"/>
      <c r="J124" s="1491"/>
      <c r="K124" s="1491"/>
      <c r="L124" s="1491"/>
      <c r="M124" s="1491"/>
      <c r="N124" s="1491"/>
      <c r="O124" s="1491"/>
      <c r="P124" s="1491"/>
      <c r="Q124" s="1491"/>
      <c r="R124" s="1491"/>
      <c r="S124" s="1491"/>
      <c r="T124" s="1491"/>
      <c r="U124" s="1491"/>
      <c r="V124" s="1491"/>
      <c r="W124" s="1491"/>
      <c r="X124" s="1491"/>
      <c r="Y124" s="1491"/>
      <c r="Z124" s="1491"/>
      <c r="AA124" s="1491"/>
      <c r="AB124" s="1491"/>
      <c r="AC124" s="1491"/>
      <c r="AD124" s="1491"/>
      <c r="AE124" s="1491"/>
      <c r="AF124" s="1491"/>
      <c r="AG124" s="1491"/>
      <c r="AH124" s="1491"/>
      <c r="AI124" s="1491"/>
      <c r="AJ124" s="1491"/>
      <c r="AK124" s="1491"/>
      <c r="AL124" s="1492"/>
    </row>
    <row r="125" spans="2:38" ht="15" customHeight="1">
      <c r="B125" s="1493" t="s">
        <v>747</v>
      </c>
      <c r="C125" s="1494"/>
      <c r="D125" s="1494"/>
      <c r="E125" s="1494"/>
      <c r="F125" s="1494"/>
      <c r="G125" s="1494"/>
      <c r="H125" s="1494"/>
      <c r="I125" s="1494"/>
      <c r="J125" s="1495"/>
      <c r="K125" s="1496" t="s">
        <v>832</v>
      </c>
      <c r="L125" s="1497"/>
      <c r="M125" s="1497"/>
      <c r="N125" s="1497"/>
      <c r="O125" s="1497"/>
      <c r="P125" s="1497"/>
      <c r="Q125" s="1497"/>
      <c r="R125" s="1497"/>
      <c r="S125" s="1497"/>
      <c r="T125" s="1497"/>
      <c r="U125" s="1497"/>
      <c r="V125" s="1497"/>
      <c r="W125" s="1497"/>
      <c r="X125" s="1497"/>
      <c r="Y125" s="1498"/>
      <c r="Z125" s="1499" t="s">
        <v>833</v>
      </c>
      <c r="AA125" s="1500"/>
      <c r="AB125" s="1500"/>
      <c r="AC125" s="1500"/>
      <c r="AD125" s="1500"/>
      <c r="AE125" s="1500"/>
      <c r="AF125" s="1500"/>
      <c r="AG125" s="1501"/>
      <c r="AH125" s="1502" t="s">
        <v>1014</v>
      </c>
      <c r="AI125" s="1503"/>
      <c r="AJ125" s="1503"/>
      <c r="AK125" s="1503"/>
      <c r="AL125" s="1504"/>
    </row>
    <row r="126" spans="2:38" ht="15" customHeight="1">
      <c r="B126" s="1522" t="s">
        <v>750</v>
      </c>
      <c r="C126" s="1523"/>
      <c r="D126" s="1523"/>
      <c r="E126" s="1523"/>
      <c r="F126" s="1523"/>
      <c r="G126" s="1523"/>
      <c r="H126" s="1523"/>
      <c r="I126" s="1523"/>
      <c r="J126" s="1524"/>
      <c r="K126" s="439"/>
      <c r="L126" s="440"/>
      <c r="M126" s="441"/>
      <c r="N126" s="441"/>
      <c r="O126" s="441"/>
      <c r="P126" s="441"/>
      <c r="Q126" s="442"/>
      <c r="R126" s="443" t="s">
        <v>835</v>
      </c>
      <c r="S126" s="439" t="s">
        <v>836</v>
      </c>
      <c r="T126" s="442"/>
      <c r="U126" s="442"/>
      <c r="V126" s="442"/>
      <c r="W126" s="442"/>
      <c r="X126" s="442"/>
      <c r="Y126" s="444"/>
      <c r="Z126" s="1525" t="s">
        <v>837</v>
      </c>
      <c r="AA126" s="1526"/>
      <c r="AB126" s="1526"/>
      <c r="AC126" s="1526"/>
      <c r="AD126" s="1526"/>
      <c r="AE126" s="1526"/>
      <c r="AF126" s="1526"/>
      <c r="AG126" s="1527"/>
      <c r="AH126" s="1528" t="s">
        <v>1015</v>
      </c>
      <c r="AI126" s="1529"/>
      <c r="AJ126" s="1529"/>
      <c r="AK126" s="1529"/>
      <c r="AL126" s="1530"/>
    </row>
    <row r="127" spans="2:38" ht="15" customHeight="1">
      <c r="B127" s="1522" t="s">
        <v>753</v>
      </c>
      <c r="C127" s="1523"/>
      <c r="D127" s="1523"/>
      <c r="E127" s="1523"/>
      <c r="F127" s="1523"/>
      <c r="G127" s="1523"/>
      <c r="H127" s="1523"/>
      <c r="I127" s="1523"/>
      <c r="J127" s="1524"/>
      <c r="K127" s="1531" t="s">
        <v>1016</v>
      </c>
      <c r="L127" s="1532"/>
      <c r="M127" s="1532"/>
      <c r="N127" s="1532"/>
      <c r="O127" s="1532"/>
      <c r="P127" s="1532"/>
      <c r="Q127" s="1532"/>
      <c r="R127" s="1533"/>
      <c r="S127" s="445" t="s">
        <v>839</v>
      </c>
      <c r="Y127" s="446"/>
      <c r="Z127" s="1513">
        <v>0.44</v>
      </c>
      <c r="AA127" s="1514"/>
      <c r="AB127" s="1" t="s">
        <v>840</v>
      </c>
      <c r="AC127" s="1"/>
      <c r="AG127" s="446"/>
      <c r="AH127" s="1534" t="s">
        <v>841</v>
      </c>
      <c r="AI127" s="1534"/>
      <c r="AJ127" s="1534"/>
      <c r="AK127" s="1536" t="s">
        <v>842</v>
      </c>
      <c r="AL127" s="1537"/>
    </row>
    <row r="128" spans="2:38">
      <c r="B128" s="1538" t="s">
        <v>755</v>
      </c>
      <c r="C128" s="1539"/>
      <c r="D128" s="1539"/>
      <c r="E128" s="1539"/>
      <c r="F128" s="1539"/>
      <c r="G128" s="1539"/>
      <c r="H128" s="1539"/>
      <c r="I128" s="1539"/>
      <c r="J128" s="1540"/>
      <c r="K128" s="1518" t="s">
        <v>1017</v>
      </c>
      <c r="L128" s="1519"/>
      <c r="M128" s="1519"/>
      <c r="N128" s="1519"/>
      <c r="O128" s="1519"/>
      <c r="P128" s="1519"/>
      <c r="Q128" s="1519"/>
      <c r="R128" s="1520"/>
      <c r="S128" s="445" t="s">
        <v>839</v>
      </c>
      <c r="Y128" s="446"/>
      <c r="Z128" s="1513">
        <v>0.47</v>
      </c>
      <c r="AA128" s="1514"/>
      <c r="AB128" s="1" t="s">
        <v>843</v>
      </c>
      <c r="AC128" s="1"/>
      <c r="AG128" s="447"/>
      <c r="AH128" s="1535"/>
      <c r="AI128" s="1535"/>
      <c r="AJ128" s="1535"/>
      <c r="AK128" s="1405"/>
      <c r="AL128" s="1407"/>
    </row>
    <row r="129" spans="2:38">
      <c r="B129" s="1515" t="s">
        <v>757</v>
      </c>
      <c r="C129" s="1516"/>
      <c r="D129" s="1516"/>
      <c r="E129" s="1516"/>
      <c r="F129" s="1516"/>
      <c r="G129" s="1516"/>
      <c r="H129" s="1516"/>
      <c r="I129" s="1516"/>
      <c r="J129" s="1517"/>
      <c r="K129" s="1518" t="s">
        <v>1018</v>
      </c>
      <c r="L129" s="1519"/>
      <c r="M129" s="1519"/>
      <c r="N129" s="1519"/>
      <c r="O129" s="1519"/>
      <c r="P129" s="1519"/>
      <c r="Q129" s="1519"/>
      <c r="R129" s="1520"/>
      <c r="S129" s="445" t="s">
        <v>839</v>
      </c>
      <c r="Y129" s="446"/>
      <c r="Z129" s="1513">
        <v>0.48</v>
      </c>
      <c r="AA129" s="1514"/>
      <c r="AB129" s="1" t="s">
        <v>845</v>
      </c>
      <c r="AC129" s="448"/>
      <c r="AG129" s="446"/>
      <c r="AH129" s="1480">
        <v>1</v>
      </c>
      <c r="AI129" s="1432"/>
      <c r="AJ129" s="1432"/>
      <c r="AK129" s="1521">
        <v>1</v>
      </c>
      <c r="AL129" s="1521"/>
    </row>
    <row r="130" spans="2:38">
      <c r="B130" s="1522" t="s">
        <v>760</v>
      </c>
      <c r="C130" s="1523"/>
      <c r="D130" s="1523"/>
      <c r="E130" s="1523"/>
      <c r="F130" s="1523"/>
      <c r="G130" s="1523"/>
      <c r="H130" s="1523"/>
      <c r="I130" s="1523"/>
      <c r="J130" s="1524"/>
      <c r="K130" s="1518" t="s">
        <v>1019</v>
      </c>
      <c r="L130" s="1519"/>
      <c r="M130" s="1519"/>
      <c r="N130" s="1519"/>
      <c r="O130" s="1519"/>
      <c r="P130" s="1519"/>
      <c r="Q130" s="1519"/>
      <c r="R130" s="1520"/>
      <c r="S130" s="445" t="s">
        <v>839</v>
      </c>
      <c r="Y130" s="446"/>
      <c r="Z130" s="1513">
        <v>0.51</v>
      </c>
      <c r="AA130" s="1514"/>
      <c r="AB130" s="1" t="s">
        <v>847</v>
      </c>
      <c r="AC130" s="448"/>
      <c r="AG130" s="446"/>
      <c r="AH130" s="1480">
        <v>1.5</v>
      </c>
      <c r="AI130" s="1432"/>
      <c r="AJ130" s="1432"/>
      <c r="AK130" s="1521">
        <v>1.18</v>
      </c>
      <c r="AL130" s="1521"/>
    </row>
    <row r="131" spans="2:38">
      <c r="B131" s="1538" t="s">
        <v>762</v>
      </c>
      <c r="C131" s="1539"/>
      <c r="D131" s="1539"/>
      <c r="E131" s="1539"/>
      <c r="F131" s="1539"/>
      <c r="G131" s="1539"/>
      <c r="H131" s="1539"/>
      <c r="I131" s="1539"/>
      <c r="J131" s="1540"/>
      <c r="K131" s="1518" t="s">
        <v>1020</v>
      </c>
      <c r="L131" s="1519"/>
      <c r="M131" s="1519"/>
      <c r="N131" s="1519"/>
      <c r="O131" s="1519"/>
      <c r="P131" s="1519"/>
      <c r="Q131" s="1519"/>
      <c r="R131" s="1520"/>
      <c r="S131" s="445" t="s">
        <v>849</v>
      </c>
      <c r="Y131" s="446"/>
      <c r="Z131" s="1513">
        <v>0.51</v>
      </c>
      <c r="AA131" s="1514"/>
      <c r="AB131" s="1" t="s">
        <v>850</v>
      </c>
      <c r="AC131" s="448"/>
      <c r="AG131" s="446"/>
      <c r="AH131" s="1480">
        <v>2</v>
      </c>
      <c r="AI131" s="1432"/>
      <c r="AJ131" s="1432"/>
      <c r="AK131" s="1521">
        <v>1.32</v>
      </c>
      <c r="AL131" s="1521"/>
    </row>
    <row r="132" spans="2:38">
      <c r="B132" s="1538" t="s">
        <v>765</v>
      </c>
      <c r="C132" s="1539"/>
      <c r="D132" s="1539"/>
      <c r="E132" s="1539"/>
      <c r="F132" s="1539"/>
      <c r="G132" s="1539"/>
      <c r="H132" s="1539"/>
      <c r="I132" s="1539"/>
      <c r="J132" s="1540"/>
      <c r="K132" s="1518" t="s">
        <v>1021</v>
      </c>
      <c r="L132" s="1519"/>
      <c r="M132" s="1519"/>
      <c r="N132" s="1519"/>
      <c r="O132" s="1519"/>
      <c r="P132" s="1519"/>
      <c r="Q132" s="1519"/>
      <c r="R132" s="1520"/>
      <c r="S132" s="445" t="s">
        <v>839</v>
      </c>
      <c r="Y132" s="446"/>
      <c r="Z132" s="1513">
        <v>0.55000000000000004</v>
      </c>
      <c r="AA132" s="1514"/>
      <c r="AB132" s="1" t="s">
        <v>852</v>
      </c>
      <c r="AC132" s="448"/>
      <c r="AG132" s="446"/>
      <c r="AH132" s="1480">
        <v>2.5</v>
      </c>
      <c r="AI132" s="1432"/>
      <c r="AJ132" s="1432"/>
      <c r="AK132" s="1521">
        <v>1.44</v>
      </c>
      <c r="AL132" s="1521"/>
    </row>
    <row r="133" spans="2:38">
      <c r="B133" s="1538" t="s">
        <v>1022</v>
      </c>
      <c r="C133" s="1539"/>
      <c r="D133" s="1539"/>
      <c r="E133" s="1539"/>
      <c r="F133" s="1539"/>
      <c r="G133" s="1539"/>
      <c r="H133" s="1539"/>
      <c r="I133" s="1539"/>
      <c r="J133" s="1540"/>
      <c r="K133" s="1518" t="s">
        <v>1023</v>
      </c>
      <c r="L133" s="1519"/>
      <c r="M133" s="1519"/>
      <c r="N133" s="1519"/>
      <c r="O133" s="1519"/>
      <c r="P133" s="1519"/>
      <c r="Q133" s="1519"/>
      <c r="R133" s="1520"/>
      <c r="S133" s="445" t="s">
        <v>849</v>
      </c>
      <c r="Y133" s="446"/>
      <c r="Z133" s="1513">
        <v>0.56000000000000005</v>
      </c>
      <c r="AA133" s="1514"/>
      <c r="AB133" s="1" t="s">
        <v>854</v>
      </c>
      <c r="AC133" s="448"/>
      <c r="AG133" s="446"/>
      <c r="AH133" s="1480">
        <v>3</v>
      </c>
      <c r="AI133" s="1432"/>
      <c r="AJ133" s="1432"/>
      <c r="AK133" s="1521">
        <v>1.55</v>
      </c>
      <c r="AL133" s="1521"/>
    </row>
    <row r="134" spans="2:38">
      <c r="B134" s="1544" t="s">
        <v>770</v>
      </c>
      <c r="C134" s="1545"/>
      <c r="D134" s="1545"/>
      <c r="E134" s="1545"/>
      <c r="F134" s="1545"/>
      <c r="G134" s="1545"/>
      <c r="H134" s="1545"/>
      <c r="I134" s="1545"/>
      <c r="J134" s="1546"/>
      <c r="K134" s="1518" t="s">
        <v>1024</v>
      </c>
      <c r="L134" s="1519"/>
      <c r="M134" s="1519"/>
      <c r="N134" s="1519"/>
      <c r="O134" s="1519"/>
      <c r="P134" s="1519"/>
      <c r="Q134" s="1519"/>
      <c r="R134" s="1520"/>
      <c r="S134" s="445" t="s">
        <v>849</v>
      </c>
      <c r="Y134" s="446"/>
      <c r="Z134" s="1513">
        <v>0.56999999999999995</v>
      </c>
      <c r="AA134" s="1514"/>
      <c r="AB134" s="1" t="s">
        <v>858</v>
      </c>
      <c r="AG134" s="446"/>
    </row>
    <row r="135" spans="2:38">
      <c r="B135" s="1547" t="s">
        <v>760</v>
      </c>
      <c r="C135" s="1548"/>
      <c r="D135" s="1548"/>
      <c r="E135" s="1548"/>
      <c r="F135" s="1548"/>
      <c r="G135" s="1548"/>
      <c r="H135" s="1548"/>
      <c r="I135" s="1548"/>
      <c r="J135" s="1549"/>
      <c r="K135" s="1518" t="s">
        <v>1025</v>
      </c>
      <c r="L135" s="1519"/>
      <c r="M135" s="1519"/>
      <c r="N135" s="1519"/>
      <c r="O135" s="1519"/>
      <c r="P135" s="1519"/>
      <c r="Q135" s="1519"/>
      <c r="R135" s="1520"/>
      <c r="S135" s="445" t="s">
        <v>849</v>
      </c>
      <c r="Y135" s="446"/>
      <c r="Z135" s="1513">
        <v>0.56999999999999995</v>
      </c>
      <c r="AA135" s="1514"/>
      <c r="AB135" s="1" t="s">
        <v>861</v>
      </c>
      <c r="AG135" s="446"/>
    </row>
    <row r="136" spans="2:38">
      <c r="B136" s="1541" t="s">
        <v>774</v>
      </c>
      <c r="C136" s="1542"/>
      <c r="D136" s="1542"/>
      <c r="E136" s="1542"/>
      <c r="F136" s="1542"/>
      <c r="G136" s="1542"/>
      <c r="H136" s="1542"/>
      <c r="I136" s="1542"/>
      <c r="J136" s="1543"/>
      <c r="K136" s="1518" t="s">
        <v>1026</v>
      </c>
      <c r="L136" s="1519"/>
      <c r="M136" s="1519"/>
      <c r="N136" s="1519"/>
      <c r="O136" s="1519"/>
      <c r="P136" s="1519"/>
      <c r="Q136" s="1519"/>
      <c r="R136" s="1520"/>
      <c r="S136" s="445" t="s">
        <v>860</v>
      </c>
      <c r="Y136" s="446"/>
      <c r="Z136" s="1513">
        <v>0.57999999999999996</v>
      </c>
      <c r="AA136" s="1514"/>
      <c r="AB136" s="1" t="s">
        <v>869</v>
      </c>
      <c r="AG136" s="446"/>
    </row>
    <row r="137" spans="2:38">
      <c r="B137" s="1541" t="s">
        <v>776</v>
      </c>
      <c r="C137" s="1542"/>
      <c r="D137" s="1542"/>
      <c r="E137" s="1542"/>
      <c r="F137" s="1542"/>
      <c r="G137" s="1542"/>
      <c r="H137" s="1542"/>
      <c r="I137" s="1542"/>
      <c r="J137" s="1543"/>
      <c r="K137" s="1518" t="s">
        <v>1027</v>
      </c>
      <c r="L137" s="1519"/>
      <c r="M137" s="1519"/>
      <c r="N137" s="1519"/>
      <c r="O137" s="1519"/>
      <c r="P137" s="1519"/>
      <c r="Q137" s="1519"/>
      <c r="R137" s="1520"/>
      <c r="S137" s="445" t="s">
        <v>839</v>
      </c>
      <c r="Y137" s="446"/>
      <c r="Z137" s="1513">
        <v>0.6</v>
      </c>
      <c r="AA137" s="1514"/>
      <c r="AB137" s="1" t="s">
        <v>875</v>
      </c>
      <c r="AG137" s="446"/>
    </row>
    <row r="138" spans="2:38">
      <c r="B138" s="1541" t="s">
        <v>1022</v>
      </c>
      <c r="C138" s="1542"/>
      <c r="D138" s="1542"/>
      <c r="E138" s="1542"/>
      <c r="F138" s="1542"/>
      <c r="G138" s="1542"/>
      <c r="H138" s="1542"/>
      <c r="I138" s="1542"/>
      <c r="J138" s="1543"/>
      <c r="K138" s="1518" t="s">
        <v>1028</v>
      </c>
      <c r="L138" s="1519"/>
      <c r="M138" s="1519"/>
      <c r="N138" s="1519"/>
      <c r="O138" s="1519"/>
      <c r="P138" s="1519"/>
      <c r="Q138" s="1519"/>
      <c r="R138" s="1520"/>
      <c r="S138" s="445" t="s">
        <v>865</v>
      </c>
      <c r="Y138" s="446"/>
      <c r="Z138" s="1559" t="s">
        <v>779</v>
      </c>
      <c r="AA138" s="1560"/>
      <c r="AB138" s="1560"/>
      <c r="AC138" s="1560"/>
      <c r="AD138" s="1560"/>
      <c r="AE138" s="1560"/>
      <c r="AF138" s="1560"/>
      <c r="AG138" s="1560"/>
      <c r="AH138" s="1560"/>
      <c r="AI138" s="1560"/>
      <c r="AJ138" s="1560"/>
      <c r="AK138" s="1560"/>
      <c r="AL138" s="1561"/>
    </row>
    <row r="139" spans="2:38">
      <c r="B139" s="1562" t="s">
        <v>1029</v>
      </c>
      <c r="C139" s="1563"/>
      <c r="D139" s="1563"/>
      <c r="E139" s="1563"/>
      <c r="F139" s="1563"/>
      <c r="G139" s="1563"/>
      <c r="H139" s="1563"/>
      <c r="I139" s="1563"/>
      <c r="J139" s="1564"/>
      <c r="K139" s="1518" t="s">
        <v>1030</v>
      </c>
      <c r="L139" s="1519"/>
      <c r="M139" s="1519"/>
      <c r="N139" s="1519"/>
      <c r="O139" s="1519"/>
      <c r="P139" s="1519"/>
      <c r="Q139" s="1519"/>
      <c r="R139" s="1520"/>
      <c r="S139" s="445" t="s">
        <v>868</v>
      </c>
      <c r="X139" s="449"/>
      <c r="Y139" s="450"/>
      <c r="Z139" s="1565" t="s">
        <v>780</v>
      </c>
      <c r="AA139" s="1566"/>
      <c r="AB139" s="1566"/>
      <c r="AC139" s="1566"/>
      <c r="AD139" s="1566"/>
      <c r="AE139" s="1566"/>
      <c r="AF139" s="1566"/>
      <c r="AG139" s="1566"/>
      <c r="AH139" s="1566"/>
      <c r="AI139" s="1566"/>
      <c r="AJ139" s="1566"/>
      <c r="AK139" s="1566"/>
      <c r="AL139" s="1567"/>
    </row>
    <row r="140" spans="2:38">
      <c r="B140" s="1571" t="s">
        <v>1031</v>
      </c>
      <c r="C140" s="1572"/>
      <c r="D140" s="1572"/>
      <c r="E140" s="1572"/>
      <c r="F140" s="1572"/>
      <c r="G140" s="1572"/>
      <c r="H140" s="1572"/>
      <c r="I140" s="1572"/>
      <c r="J140" s="1573"/>
      <c r="K140" s="451"/>
      <c r="L140" s="452"/>
      <c r="M140" s="453"/>
      <c r="N140" s="452"/>
      <c r="O140" s="452"/>
      <c r="P140" s="452"/>
      <c r="Q140" s="454"/>
      <c r="R140" s="452" t="s">
        <v>1032</v>
      </c>
      <c r="S140" s="455" t="s">
        <v>871</v>
      </c>
      <c r="T140" s="442"/>
      <c r="U140" s="442"/>
      <c r="V140" s="442"/>
      <c r="W140" s="442"/>
      <c r="X140" s="442"/>
      <c r="Y140" s="444"/>
      <c r="Z140" s="1568"/>
      <c r="AA140" s="1569"/>
      <c r="AB140" s="1569"/>
      <c r="AC140" s="1569"/>
      <c r="AD140" s="1569"/>
      <c r="AE140" s="1569"/>
      <c r="AF140" s="1569"/>
      <c r="AG140" s="1569"/>
      <c r="AH140" s="1569"/>
      <c r="AI140" s="1569"/>
      <c r="AJ140" s="1569"/>
      <c r="AK140" s="1569"/>
      <c r="AL140" s="1570"/>
    </row>
    <row r="141" spans="2:38">
      <c r="B141" s="1581" t="s">
        <v>781</v>
      </c>
      <c r="C141" s="1581"/>
      <c r="D141" s="1581"/>
      <c r="E141" s="1581"/>
      <c r="F141" s="1581"/>
      <c r="G141" s="1581"/>
      <c r="H141" s="1581"/>
      <c r="I141" s="1581"/>
      <c r="J141" s="1581"/>
      <c r="K141" s="1581"/>
      <c r="L141" s="1581"/>
      <c r="M141" s="1581"/>
      <c r="N141" s="1581"/>
      <c r="O141" s="1581"/>
      <c r="P141" s="1581"/>
      <c r="Q141" s="1581"/>
      <c r="R141" s="1581"/>
      <c r="S141" s="1581"/>
      <c r="T141" s="1581"/>
      <c r="U141" s="1432" t="s">
        <v>782</v>
      </c>
      <c r="V141" s="1432"/>
      <c r="W141" s="1432"/>
      <c r="X141" s="1432"/>
      <c r="Y141" s="1432" t="s">
        <v>783</v>
      </c>
      <c r="Z141" s="1432"/>
      <c r="AA141" s="1432"/>
      <c r="AB141" s="1432"/>
      <c r="AC141" s="1432" t="s">
        <v>784</v>
      </c>
      <c r="AD141" s="1432"/>
      <c r="AE141" s="1432"/>
      <c r="AF141" s="1432"/>
      <c r="AG141" s="1432"/>
      <c r="AH141" s="1432"/>
      <c r="AI141" s="1432"/>
      <c r="AJ141" s="1432"/>
      <c r="AK141" s="1432"/>
      <c r="AL141" s="1432"/>
    </row>
    <row r="142" spans="2:38">
      <c r="B142" s="1550" t="s">
        <v>1033</v>
      </c>
      <c r="C142" s="1551"/>
      <c r="D142" s="1551"/>
      <c r="E142" s="1551"/>
      <c r="F142" s="1551"/>
      <c r="G142" s="1551"/>
      <c r="H142" s="1551"/>
      <c r="I142" s="1551"/>
      <c r="J142" s="1551"/>
      <c r="K142" s="1551"/>
      <c r="L142" s="1551"/>
      <c r="M142" s="1551"/>
      <c r="N142" s="1551"/>
      <c r="O142" s="1551"/>
      <c r="P142" s="1551"/>
      <c r="Q142" s="1551"/>
      <c r="R142" s="1551"/>
      <c r="S142" s="1551"/>
      <c r="T142" s="1551"/>
      <c r="U142" s="1552"/>
    </row>
    <row r="143" spans="2:38" ht="15" customHeight="1">
      <c r="B143" s="1553" t="s">
        <v>745</v>
      </c>
      <c r="C143" s="1554"/>
      <c r="D143" s="1554"/>
      <c r="E143" s="1554"/>
      <c r="F143" s="1555"/>
      <c r="G143" s="1556" t="s">
        <v>1034</v>
      </c>
      <c r="H143" s="1557"/>
      <c r="I143" s="1557"/>
      <c r="J143" s="1557"/>
      <c r="K143" s="1557"/>
      <c r="L143" s="1557"/>
      <c r="M143" s="1557"/>
      <c r="N143" s="1557"/>
      <c r="O143" s="1557"/>
      <c r="P143" s="1557"/>
      <c r="Q143" s="1557"/>
      <c r="R143" s="1557"/>
      <c r="S143" s="1557"/>
      <c r="T143" s="1557"/>
      <c r="U143" s="1558"/>
      <c r="W143" s="456"/>
      <c r="X143" s="456"/>
      <c r="Y143" s="456"/>
      <c r="Z143" s="456"/>
      <c r="AA143" s="456"/>
      <c r="AB143" s="456"/>
      <c r="AC143" s="456"/>
    </row>
    <row r="144" spans="2:38" ht="15" customHeight="1">
      <c r="B144" s="1574" t="s">
        <v>748</v>
      </c>
      <c r="C144" s="1575"/>
      <c r="D144" s="1575"/>
      <c r="E144" s="1575"/>
      <c r="F144" s="1575"/>
      <c r="G144" s="1576" t="s">
        <v>749</v>
      </c>
      <c r="H144" s="1491"/>
      <c r="I144" s="1491"/>
      <c r="J144" s="1491"/>
      <c r="K144" s="1491"/>
      <c r="L144" s="1491"/>
      <c r="M144" s="1491"/>
      <c r="N144" s="1491"/>
      <c r="O144" s="1491"/>
      <c r="P144" s="1491"/>
      <c r="Q144" s="1491"/>
      <c r="R144" s="1491"/>
      <c r="S144" s="1491"/>
      <c r="T144" s="1491"/>
      <c r="U144" s="1492"/>
      <c r="W144" s="318"/>
      <c r="X144" s="318"/>
      <c r="Y144" s="318"/>
      <c r="AA144" s="1"/>
      <c r="AB144" s="1"/>
      <c r="AC144" s="1"/>
      <c r="AD144" s="1"/>
      <c r="AE144" s="1"/>
      <c r="AF144" s="1"/>
    </row>
    <row r="145" spans="2:44" ht="15" customHeight="1">
      <c r="B145" s="1553" t="s">
        <v>751</v>
      </c>
      <c r="C145" s="1554"/>
      <c r="D145" s="1554"/>
      <c r="E145" s="1554"/>
      <c r="F145" s="1555"/>
      <c r="G145" s="1577" t="s">
        <v>752</v>
      </c>
      <c r="H145" s="1435"/>
      <c r="I145" s="1435"/>
      <c r="J145" s="1435"/>
      <c r="K145" s="1435"/>
      <c r="L145" s="1435"/>
      <c r="M145" s="1435"/>
      <c r="N145" s="1435"/>
      <c r="O145" s="1435"/>
      <c r="P145" s="1435"/>
      <c r="Q145" s="1435"/>
      <c r="R145" s="1435"/>
      <c r="S145" s="1435"/>
      <c r="T145" s="1435"/>
      <c r="U145" s="1489"/>
      <c r="W145" s="318"/>
      <c r="X145" s="318"/>
      <c r="Y145" s="318"/>
      <c r="Z145" s="318"/>
      <c r="AA145" s="318"/>
      <c r="AB145" s="318"/>
      <c r="AC145" s="318"/>
    </row>
    <row r="146" spans="2:44">
      <c r="B146" s="1553"/>
      <c r="C146" s="1554"/>
      <c r="D146" s="1554"/>
      <c r="E146" s="1554"/>
      <c r="F146" s="1555"/>
      <c r="G146" s="1577" t="s">
        <v>1035</v>
      </c>
      <c r="H146" s="1435"/>
      <c r="I146" s="1435"/>
      <c r="J146" s="1435"/>
      <c r="K146" s="1435"/>
      <c r="L146" s="1435"/>
      <c r="M146" s="1435"/>
      <c r="N146" s="1435"/>
      <c r="O146" s="1435"/>
      <c r="P146" s="1435"/>
      <c r="Q146" s="1435"/>
      <c r="R146" s="1435"/>
      <c r="S146" s="1435"/>
      <c r="T146" s="1435"/>
      <c r="U146" s="1489"/>
      <c r="W146" s="457"/>
      <c r="X146" s="457"/>
      <c r="Y146" s="457"/>
      <c r="Z146" s="457"/>
      <c r="AA146" s="457"/>
      <c r="AB146" s="457"/>
      <c r="AC146" s="457"/>
    </row>
    <row r="147" spans="2:44">
      <c r="B147" s="1553"/>
      <c r="C147" s="1554"/>
      <c r="D147" s="1554"/>
      <c r="E147" s="1554"/>
      <c r="F147" s="1555"/>
      <c r="G147" s="1578" t="s">
        <v>756</v>
      </c>
      <c r="H147" s="1579"/>
      <c r="I147" s="1579"/>
      <c r="J147" s="1579"/>
      <c r="K147" s="1579"/>
      <c r="L147" s="1579"/>
      <c r="M147" s="1579"/>
      <c r="N147" s="1579"/>
      <c r="O147" s="1579"/>
      <c r="P147" s="1579"/>
      <c r="Q147" s="1579"/>
      <c r="R147" s="1579"/>
      <c r="S147" s="1579"/>
      <c r="T147" s="1579"/>
      <c r="U147" s="1580"/>
      <c r="W147" s="458"/>
      <c r="X147" s="458"/>
      <c r="Y147" s="458"/>
      <c r="Z147" s="458"/>
      <c r="AA147" s="458"/>
      <c r="AB147" s="458"/>
      <c r="AC147" s="318"/>
    </row>
    <row r="148" spans="2:44">
      <c r="B148" s="1574" t="s">
        <v>758</v>
      </c>
      <c r="C148" s="1575"/>
      <c r="D148" s="1575"/>
      <c r="E148" s="1575"/>
      <c r="F148" s="1575"/>
      <c r="G148" s="1576" t="s">
        <v>759</v>
      </c>
      <c r="H148" s="1491"/>
      <c r="I148" s="1491"/>
      <c r="J148" s="1491"/>
      <c r="K148" s="1491"/>
      <c r="L148" s="1491"/>
      <c r="M148" s="1491"/>
      <c r="N148" s="1491"/>
      <c r="O148" s="1491"/>
      <c r="P148" s="1491"/>
      <c r="Q148" s="1491"/>
      <c r="R148" s="1491"/>
      <c r="S148" s="1491"/>
      <c r="T148" s="1491"/>
      <c r="U148" s="1492"/>
      <c r="W148" s="318"/>
      <c r="X148" s="318"/>
      <c r="Y148" s="318"/>
      <c r="Z148" s="318"/>
      <c r="AA148" s="318"/>
      <c r="AB148" s="318"/>
      <c r="AC148" s="318"/>
    </row>
    <row r="149" spans="2:44" ht="15" customHeight="1">
      <c r="B149" s="1553" t="s">
        <v>763</v>
      </c>
      <c r="C149" s="1554"/>
      <c r="D149" s="1554"/>
      <c r="E149" s="1554"/>
      <c r="F149" s="1555"/>
      <c r="G149" s="1586" t="s">
        <v>764</v>
      </c>
      <c r="H149" s="1587"/>
      <c r="I149" s="1587"/>
      <c r="J149" s="1587"/>
      <c r="K149" s="1587"/>
      <c r="L149" s="1587"/>
      <c r="M149" s="1587"/>
      <c r="N149" s="1587"/>
      <c r="O149" s="1587"/>
      <c r="P149" s="1587"/>
      <c r="Q149" s="1587"/>
      <c r="R149" s="1587"/>
      <c r="S149" s="1587"/>
      <c r="T149" s="1587"/>
      <c r="U149" s="1588"/>
      <c r="W149" s="457"/>
      <c r="X149" s="457"/>
      <c r="Y149" s="457"/>
      <c r="Z149" s="457"/>
      <c r="AA149" s="457"/>
      <c r="AB149" s="457"/>
      <c r="AC149" s="318"/>
    </row>
    <row r="150" spans="2:44" ht="15" customHeight="1">
      <c r="B150" s="1553"/>
      <c r="C150" s="1554"/>
      <c r="D150" s="1554"/>
      <c r="E150" s="1554"/>
      <c r="F150" s="1555"/>
      <c r="G150" s="1586" t="s">
        <v>766</v>
      </c>
      <c r="H150" s="1587"/>
      <c r="I150" s="1587"/>
      <c r="J150" s="1587"/>
      <c r="K150" s="1587"/>
      <c r="L150" s="1587"/>
      <c r="M150" s="1587"/>
      <c r="N150" s="1587"/>
      <c r="O150" s="1587"/>
      <c r="P150" s="1587"/>
      <c r="Q150" s="1587"/>
      <c r="R150" s="1587"/>
      <c r="S150" s="1587"/>
      <c r="T150" s="1587"/>
      <c r="U150" s="1588"/>
      <c r="W150" s="457"/>
      <c r="X150" s="457"/>
      <c r="Y150" s="457"/>
      <c r="Z150" s="457"/>
      <c r="AA150" s="457"/>
      <c r="AB150" s="457"/>
      <c r="AC150" s="318"/>
    </row>
    <row r="151" spans="2:44" ht="15" customHeight="1">
      <c r="B151" s="1574" t="s">
        <v>768</v>
      </c>
      <c r="C151" s="1575"/>
      <c r="D151" s="1575"/>
      <c r="E151" s="1575"/>
      <c r="F151" s="1575"/>
      <c r="G151" s="1592" t="s">
        <v>1036</v>
      </c>
      <c r="H151" s="1593"/>
      <c r="I151" s="1593"/>
      <c r="J151" s="1593"/>
      <c r="K151" s="1593"/>
      <c r="L151" s="1593"/>
      <c r="M151" s="1593"/>
      <c r="N151" s="1593"/>
      <c r="O151" s="1593"/>
      <c r="P151" s="1593"/>
      <c r="Q151" s="1593"/>
      <c r="R151" s="1593"/>
      <c r="S151" s="1593"/>
      <c r="T151" s="1593"/>
      <c r="U151" s="1594"/>
      <c r="W151" s="456"/>
      <c r="X151" s="456"/>
      <c r="Y151" s="456"/>
      <c r="Z151" s="456"/>
      <c r="AA151" s="456"/>
      <c r="AB151" s="456"/>
      <c r="AC151" s="318"/>
    </row>
    <row r="152" spans="2:44" ht="15" customHeight="1">
      <c r="B152" s="1582" t="s">
        <v>1037</v>
      </c>
      <c r="C152" s="1583"/>
      <c r="D152" s="1583"/>
      <c r="E152" s="1583"/>
      <c r="F152" s="1584"/>
      <c r="G152" s="1586" t="s">
        <v>772</v>
      </c>
      <c r="H152" s="1587"/>
      <c r="I152" s="1587"/>
      <c r="J152" s="1587"/>
      <c r="K152" s="1587"/>
      <c r="L152" s="1587"/>
      <c r="M152" s="1587"/>
      <c r="N152" s="1587"/>
      <c r="O152" s="1587"/>
      <c r="P152" s="1587"/>
      <c r="Q152" s="1587"/>
      <c r="R152" s="1587"/>
      <c r="S152" s="1587"/>
      <c r="T152" s="1587"/>
      <c r="U152" s="1588"/>
      <c r="W152" s="318"/>
      <c r="X152" s="318"/>
      <c r="Y152" s="318"/>
      <c r="Z152" s="318"/>
      <c r="AA152" s="318"/>
      <c r="AB152" s="318"/>
      <c r="AC152" s="318"/>
    </row>
    <row r="153" spans="2:44">
      <c r="B153" s="1528"/>
      <c r="C153" s="1529"/>
      <c r="D153" s="1529"/>
      <c r="E153" s="1529"/>
      <c r="F153" s="1585"/>
      <c r="G153" s="1586" t="s">
        <v>1038</v>
      </c>
      <c r="H153" s="1587"/>
      <c r="I153" s="1587"/>
      <c r="J153" s="1587"/>
      <c r="K153" s="1587"/>
      <c r="L153" s="1587"/>
      <c r="M153" s="1587"/>
      <c r="N153" s="1587"/>
      <c r="O153" s="1587"/>
      <c r="P153" s="1587"/>
      <c r="Q153" s="1587"/>
      <c r="R153" s="1587"/>
      <c r="S153" s="1587"/>
      <c r="T153" s="1587"/>
      <c r="U153" s="1588"/>
      <c r="W153" s="457"/>
      <c r="X153" s="457"/>
      <c r="Y153" s="457"/>
      <c r="Z153" s="457"/>
      <c r="AA153" s="457"/>
      <c r="AB153" s="457"/>
      <c r="AC153" s="318"/>
    </row>
    <row r="154" spans="2:44" ht="15" customHeight="1">
      <c r="B154" s="1528"/>
      <c r="C154" s="1529"/>
      <c r="D154" s="1529"/>
      <c r="E154" s="1529"/>
      <c r="F154" s="1585"/>
      <c r="G154" s="1586" t="s">
        <v>1039</v>
      </c>
      <c r="H154" s="1587"/>
      <c r="I154" s="1587"/>
      <c r="J154" s="1587"/>
      <c r="K154" s="1587"/>
      <c r="L154" s="1587"/>
      <c r="M154" s="1587"/>
      <c r="N154" s="1587"/>
      <c r="O154" s="1587"/>
      <c r="P154" s="1587"/>
      <c r="Q154" s="1587"/>
      <c r="R154" s="1587"/>
      <c r="S154" s="1587"/>
      <c r="T154" s="1587"/>
      <c r="U154" s="1588"/>
      <c r="W154" s="457"/>
      <c r="X154" s="457"/>
      <c r="Y154" s="457"/>
      <c r="Z154" s="457"/>
      <c r="AA154" s="457"/>
      <c r="AB154" s="457"/>
      <c r="AC154" s="318"/>
    </row>
    <row r="155" spans="2:44">
      <c r="B155" s="1589" t="s">
        <v>1040</v>
      </c>
      <c r="C155" s="1590"/>
      <c r="D155" s="1590"/>
      <c r="E155" s="1590"/>
      <c r="F155" s="1591"/>
      <c r="G155" s="1592" t="s">
        <v>1041</v>
      </c>
      <c r="H155" s="1593"/>
      <c r="I155" s="1593"/>
      <c r="J155" s="1593"/>
      <c r="K155" s="1593"/>
      <c r="L155" s="1593"/>
      <c r="M155" s="1593"/>
      <c r="N155" s="1593"/>
      <c r="O155" s="1593"/>
      <c r="P155" s="1593"/>
      <c r="Q155" s="1593"/>
      <c r="R155" s="1593"/>
      <c r="S155" s="1593"/>
      <c r="T155" s="1593"/>
      <c r="U155" s="1594"/>
      <c r="W155" s="459"/>
      <c r="X155" s="459"/>
      <c r="Y155" s="459"/>
      <c r="Z155" s="459"/>
      <c r="AA155" s="459"/>
      <c r="AB155" s="459"/>
      <c r="AC155" s="318"/>
    </row>
    <row r="156" spans="2:44" ht="15" customHeight="1">
      <c r="H156" s="457"/>
      <c r="I156" s="457"/>
      <c r="J156" s="457"/>
      <c r="K156" s="457"/>
      <c r="W156" s="460"/>
      <c r="X156" s="460"/>
      <c r="Y156" s="460"/>
      <c r="Z156" s="460"/>
      <c r="AA156" s="460"/>
      <c r="AB156" s="460"/>
      <c r="AC156" s="318"/>
      <c r="AR156" s="318"/>
    </row>
    <row r="157" spans="2:44">
      <c r="J157" s="433"/>
      <c r="K157" s="433"/>
      <c r="L157" s="433"/>
      <c r="M157" s="433"/>
      <c r="N157" s="433"/>
      <c r="O157" s="433"/>
      <c r="P157" s="433"/>
      <c r="Q157" s="433"/>
      <c r="R157" s="433"/>
      <c r="S157" s="433"/>
    </row>
    <row r="158" spans="2:44">
      <c r="AR158" s="318"/>
    </row>
  </sheetData>
  <sheetProtection algorithmName="SHA-512" hashValue="QDu7UlOY3+GJfoUtHWA2O7OflmADlmlIkTftFJafBa+TAyeH2vKZknFkd4P9jEe2/XX3mFSzEyhwCkaDKqDPeQ==" saltValue="Q/TAL019uD7ich9fUxSG0g==" spinCount="100000" sheet="1" selectLockedCells="1"/>
  <mergeCells count="400">
    <mergeCell ref="AB97:AI97"/>
    <mergeCell ref="AA103:AK103"/>
    <mergeCell ref="AA104:AK107"/>
    <mergeCell ref="AA109:AK109"/>
    <mergeCell ref="AA111:AD111"/>
    <mergeCell ref="AE111:AF111"/>
    <mergeCell ref="AG111:AJ111"/>
    <mergeCell ref="B65:AL65"/>
    <mergeCell ref="AD50:AK50"/>
    <mergeCell ref="AB50:AC50"/>
    <mergeCell ref="AA96:AK96"/>
    <mergeCell ref="AJ97:AK97"/>
    <mergeCell ref="AC82:AF82"/>
    <mergeCell ref="AG82:AI82"/>
    <mergeCell ref="AJ82:AK82"/>
    <mergeCell ref="B84:T84"/>
    <mergeCell ref="U84:AL84"/>
    <mergeCell ref="B85:T85"/>
    <mergeCell ref="U85:AL85"/>
    <mergeCell ref="AJ78:AK78"/>
    <mergeCell ref="U80:Z80"/>
    <mergeCell ref="AA80:AB80"/>
    <mergeCell ref="AC80:AI80"/>
    <mergeCell ref="AJ80:AK80"/>
    <mergeCell ref="B76:G76"/>
    <mergeCell ref="H76:I76"/>
    <mergeCell ref="J76:Q76"/>
    <mergeCell ref="R76:S76"/>
    <mergeCell ref="U76:AL76"/>
    <mergeCell ref="B78:P78"/>
    <mergeCell ref="R78:S78"/>
    <mergeCell ref="U78:Z78"/>
    <mergeCell ref="AA78:AB78"/>
    <mergeCell ref="AC78:AI78"/>
    <mergeCell ref="Z74:AA74"/>
    <mergeCell ref="AB74:AI74"/>
    <mergeCell ref="AJ74:AK74"/>
    <mergeCell ref="B72:G72"/>
    <mergeCell ref="H72:I72"/>
    <mergeCell ref="J72:Q72"/>
    <mergeCell ref="R72:S72"/>
    <mergeCell ref="U72:AI72"/>
    <mergeCell ref="AJ72:AK72"/>
    <mergeCell ref="B19:T19"/>
    <mergeCell ref="U19:AL19"/>
    <mergeCell ref="U37:AL40"/>
    <mergeCell ref="AA58:AK58"/>
    <mergeCell ref="B60:W60"/>
    <mergeCell ref="X60:Y60"/>
    <mergeCell ref="AA60:AD60"/>
    <mergeCell ref="AE60:AF60"/>
    <mergeCell ref="AG60:AJ60"/>
    <mergeCell ref="B54:W54"/>
    <mergeCell ref="X54:Y54"/>
    <mergeCell ref="B56:W56"/>
    <mergeCell ref="X56:Y56"/>
    <mergeCell ref="B58:W58"/>
    <mergeCell ref="X58:Y58"/>
    <mergeCell ref="B52:J52"/>
    <mergeCell ref="Z43:AL43"/>
    <mergeCell ref="AB45:AK45"/>
    <mergeCell ref="R22:S22"/>
    <mergeCell ref="AJ28:AK28"/>
    <mergeCell ref="B26:G26"/>
    <mergeCell ref="H26:I26"/>
    <mergeCell ref="J26:Q26"/>
    <mergeCell ref="R26:S26"/>
    <mergeCell ref="B61:AL61"/>
    <mergeCell ref="B59:AL59"/>
    <mergeCell ref="B57:AL57"/>
    <mergeCell ref="B55:AL55"/>
    <mergeCell ref="B53:AL53"/>
    <mergeCell ref="B51:AL51"/>
    <mergeCell ref="W50:Y50"/>
    <mergeCell ref="R50:V50"/>
    <mergeCell ref="AJ30:AK30"/>
    <mergeCell ref="N47:P47"/>
    <mergeCell ref="Q47:S47"/>
    <mergeCell ref="T47:V47"/>
    <mergeCell ref="W47:Y47"/>
    <mergeCell ref="K52:L52"/>
    <mergeCell ref="N52:Q52"/>
    <mergeCell ref="R52:S52"/>
    <mergeCell ref="C49:J49"/>
    <mergeCell ref="K49:M49"/>
    <mergeCell ref="N49:P49"/>
    <mergeCell ref="Q49:S49"/>
    <mergeCell ref="T49:V49"/>
    <mergeCell ref="W49:Y49"/>
    <mergeCell ref="AB49:AK49"/>
    <mergeCell ref="C46:J46"/>
    <mergeCell ref="U26:AL26"/>
    <mergeCell ref="B28:P28"/>
    <mergeCell ref="U28:Z28"/>
    <mergeCell ref="B30:P32"/>
    <mergeCell ref="AA28:AB28"/>
    <mergeCell ref="AA30:AB30"/>
    <mergeCell ref="AC28:AI28"/>
    <mergeCell ref="AC30:AI30"/>
    <mergeCell ref="R28:S28"/>
    <mergeCell ref="R32:S32"/>
    <mergeCell ref="R20:S20"/>
    <mergeCell ref="B24:P24"/>
    <mergeCell ref="S12:X12"/>
    <mergeCell ref="L12:N12"/>
    <mergeCell ref="O12:P12"/>
    <mergeCell ref="Q12:R12"/>
    <mergeCell ref="Y12:Z12"/>
    <mergeCell ref="U30:Z30"/>
    <mergeCell ref="B17:AL17"/>
    <mergeCell ref="U22:AI22"/>
    <mergeCell ref="AJ22:AK22"/>
    <mergeCell ref="R24:S24"/>
    <mergeCell ref="U24:Y24"/>
    <mergeCell ref="Z24:AA24"/>
    <mergeCell ref="AB24:AI24"/>
    <mergeCell ref="AJ24:AK24"/>
    <mergeCell ref="B18:AL18"/>
    <mergeCell ref="B20:P20"/>
    <mergeCell ref="U20:AL20"/>
    <mergeCell ref="B22:G22"/>
    <mergeCell ref="H22:I22"/>
    <mergeCell ref="J22:Q22"/>
    <mergeCell ref="B13:AL13"/>
    <mergeCell ref="B14:AL14"/>
    <mergeCell ref="B152:F154"/>
    <mergeCell ref="G152:U152"/>
    <mergeCell ref="G153:U153"/>
    <mergeCell ref="G154:U154"/>
    <mergeCell ref="B155:F155"/>
    <mergeCell ref="G155:U155"/>
    <mergeCell ref="B148:F148"/>
    <mergeCell ref="G148:U148"/>
    <mergeCell ref="B149:F150"/>
    <mergeCell ref="G149:U149"/>
    <mergeCell ref="G150:U150"/>
    <mergeCell ref="B151:F151"/>
    <mergeCell ref="G151:U151"/>
    <mergeCell ref="B144:F144"/>
    <mergeCell ref="G144:U144"/>
    <mergeCell ref="B145:F147"/>
    <mergeCell ref="G145:U145"/>
    <mergeCell ref="G146:U146"/>
    <mergeCell ref="G147:U147"/>
    <mergeCell ref="B141:T141"/>
    <mergeCell ref="U141:X141"/>
    <mergeCell ref="Y141:AB141"/>
    <mergeCell ref="AC141:AL141"/>
    <mergeCell ref="B142:U142"/>
    <mergeCell ref="B143:F143"/>
    <mergeCell ref="G143:U143"/>
    <mergeCell ref="B138:J138"/>
    <mergeCell ref="K138:R138"/>
    <mergeCell ref="Z138:AL138"/>
    <mergeCell ref="B139:J139"/>
    <mergeCell ref="K139:R139"/>
    <mergeCell ref="Z139:AL140"/>
    <mergeCell ref="B140:J140"/>
    <mergeCell ref="B136:J136"/>
    <mergeCell ref="K136:R136"/>
    <mergeCell ref="Z136:AA136"/>
    <mergeCell ref="B137:J137"/>
    <mergeCell ref="K137:R137"/>
    <mergeCell ref="Z137:AA137"/>
    <mergeCell ref="B134:J134"/>
    <mergeCell ref="K134:R134"/>
    <mergeCell ref="Z134:AA134"/>
    <mergeCell ref="B135:J135"/>
    <mergeCell ref="K135:R135"/>
    <mergeCell ref="Z135:AA135"/>
    <mergeCell ref="B132:J132"/>
    <mergeCell ref="K132:R132"/>
    <mergeCell ref="Z132:AA132"/>
    <mergeCell ref="AH132:AJ132"/>
    <mergeCell ref="AK132:AL132"/>
    <mergeCell ref="B133:J133"/>
    <mergeCell ref="K133:R133"/>
    <mergeCell ref="Z133:AA133"/>
    <mergeCell ref="AH133:AJ133"/>
    <mergeCell ref="AK133:AL133"/>
    <mergeCell ref="B130:J130"/>
    <mergeCell ref="K130:R130"/>
    <mergeCell ref="Z130:AA130"/>
    <mergeCell ref="AH130:AJ130"/>
    <mergeCell ref="AK130:AL130"/>
    <mergeCell ref="B131:J131"/>
    <mergeCell ref="K131:R131"/>
    <mergeCell ref="Z131:AA131"/>
    <mergeCell ref="AH131:AJ131"/>
    <mergeCell ref="AK131:AL131"/>
    <mergeCell ref="Z128:AA128"/>
    <mergeCell ref="B129:J129"/>
    <mergeCell ref="K129:R129"/>
    <mergeCell ref="Z129:AA129"/>
    <mergeCell ref="AH129:AJ129"/>
    <mergeCell ref="AK129:AL129"/>
    <mergeCell ref="B126:J126"/>
    <mergeCell ref="Z126:AG126"/>
    <mergeCell ref="AH126:AL126"/>
    <mergeCell ref="B127:J127"/>
    <mergeCell ref="K127:R127"/>
    <mergeCell ref="Z127:AA127"/>
    <mergeCell ref="AH127:AJ128"/>
    <mergeCell ref="AK127:AL128"/>
    <mergeCell ref="B128:J128"/>
    <mergeCell ref="K128:R128"/>
    <mergeCell ref="B123:AL123"/>
    <mergeCell ref="B124:AL124"/>
    <mergeCell ref="B125:J125"/>
    <mergeCell ref="K125:Y125"/>
    <mergeCell ref="Z125:AG125"/>
    <mergeCell ref="AH125:AL125"/>
    <mergeCell ref="B117:AL117"/>
    <mergeCell ref="B118:AL118"/>
    <mergeCell ref="B119:AL119"/>
    <mergeCell ref="B120:AL120"/>
    <mergeCell ref="B121:AL121"/>
    <mergeCell ref="B122:AL122"/>
    <mergeCell ref="B113:W113"/>
    <mergeCell ref="X113:Y113"/>
    <mergeCell ref="B116:AL116"/>
    <mergeCell ref="AA113:AD113"/>
    <mergeCell ref="AE113:AF113"/>
    <mergeCell ref="AG113:AJ113"/>
    <mergeCell ref="B107:W107"/>
    <mergeCell ref="X107:Y107"/>
    <mergeCell ref="B109:W109"/>
    <mergeCell ref="X109:Y109"/>
    <mergeCell ref="B111:W111"/>
    <mergeCell ref="X111:Y111"/>
    <mergeCell ref="AA108:AK108"/>
    <mergeCell ref="R101:V101"/>
    <mergeCell ref="W101:Y101"/>
    <mergeCell ref="B103:J103"/>
    <mergeCell ref="K103:L103"/>
    <mergeCell ref="R103:S103"/>
    <mergeCell ref="B105:W105"/>
    <mergeCell ref="X105:Y105"/>
    <mergeCell ref="AB98:AI98"/>
    <mergeCell ref="AJ98:AK98"/>
    <mergeCell ref="C99:J99"/>
    <mergeCell ref="K99:M99"/>
    <mergeCell ref="N99:P99"/>
    <mergeCell ref="Q99:S99"/>
    <mergeCell ref="T99:V99"/>
    <mergeCell ref="W99:Y99"/>
    <mergeCell ref="C98:J98"/>
    <mergeCell ref="K98:M98"/>
    <mergeCell ref="N98:P98"/>
    <mergeCell ref="Q98:S98"/>
    <mergeCell ref="T98:V98"/>
    <mergeCell ref="W98:Y98"/>
    <mergeCell ref="M103:Q103"/>
    <mergeCell ref="C97:J97"/>
    <mergeCell ref="K97:M97"/>
    <mergeCell ref="N97:P97"/>
    <mergeCell ref="Q97:S97"/>
    <mergeCell ref="T97:V97"/>
    <mergeCell ref="W97:Y97"/>
    <mergeCell ref="C96:J96"/>
    <mergeCell ref="K96:M96"/>
    <mergeCell ref="N96:P96"/>
    <mergeCell ref="Q96:S96"/>
    <mergeCell ref="T96:V96"/>
    <mergeCell ref="W96:Y96"/>
    <mergeCell ref="W95:Y95"/>
    <mergeCell ref="AA95:AK95"/>
    <mergeCell ref="C94:J94"/>
    <mergeCell ref="K94:M94"/>
    <mergeCell ref="N94:P94"/>
    <mergeCell ref="Q94:S94"/>
    <mergeCell ref="T94:V94"/>
    <mergeCell ref="W94:Y94"/>
    <mergeCell ref="AA94:AK94"/>
    <mergeCell ref="B91:AL91"/>
    <mergeCell ref="B92:J92"/>
    <mergeCell ref="K92:M92"/>
    <mergeCell ref="N92:P92"/>
    <mergeCell ref="Q92:S92"/>
    <mergeCell ref="T92:V92"/>
    <mergeCell ref="AJ101:AK101"/>
    <mergeCell ref="Z101:AI101"/>
    <mergeCell ref="AJ99:AK99"/>
    <mergeCell ref="AB99:AI99"/>
    <mergeCell ref="W92:Y92"/>
    <mergeCell ref="AA92:AI92"/>
    <mergeCell ref="AJ92:AK92"/>
    <mergeCell ref="C93:J93"/>
    <mergeCell ref="K93:M93"/>
    <mergeCell ref="N93:P93"/>
    <mergeCell ref="Q93:S93"/>
    <mergeCell ref="T93:V93"/>
    <mergeCell ref="W93:Y93"/>
    <mergeCell ref="C95:J95"/>
    <mergeCell ref="K95:M95"/>
    <mergeCell ref="N95:P95"/>
    <mergeCell ref="Q95:S95"/>
    <mergeCell ref="T95:V95"/>
    <mergeCell ref="B86:T90"/>
    <mergeCell ref="U87:AL90"/>
    <mergeCell ref="U86:AL86"/>
    <mergeCell ref="R82:S82"/>
    <mergeCell ref="U82:AB82"/>
    <mergeCell ref="B62:W62"/>
    <mergeCell ref="X62:Y62"/>
    <mergeCell ref="AA62:AD62"/>
    <mergeCell ref="AE62:AF62"/>
    <mergeCell ref="AG62:AJ62"/>
    <mergeCell ref="B63:AL63"/>
    <mergeCell ref="B80:P82"/>
    <mergeCell ref="AH66:AK66"/>
    <mergeCell ref="B68:AL68"/>
    <mergeCell ref="B69:T69"/>
    <mergeCell ref="U69:AL69"/>
    <mergeCell ref="B70:P70"/>
    <mergeCell ref="R70:S70"/>
    <mergeCell ref="U70:AL70"/>
    <mergeCell ref="AC66:AG66"/>
    <mergeCell ref="B66:AB66"/>
    <mergeCell ref="B74:P74"/>
    <mergeCell ref="R74:S74"/>
    <mergeCell ref="U74:Y74"/>
    <mergeCell ref="K46:M46"/>
    <mergeCell ref="N46:P46"/>
    <mergeCell ref="Q46:S46"/>
    <mergeCell ref="T46:V46"/>
    <mergeCell ref="W46:Y46"/>
    <mergeCell ref="AB46:AK46"/>
    <mergeCell ref="C45:J45"/>
    <mergeCell ref="K45:M45"/>
    <mergeCell ref="N45:P45"/>
    <mergeCell ref="Q45:S45"/>
    <mergeCell ref="T45:V45"/>
    <mergeCell ref="W45:Y45"/>
    <mergeCell ref="AB47:AK47"/>
    <mergeCell ref="C48:J48"/>
    <mergeCell ref="K48:M48"/>
    <mergeCell ref="N48:P48"/>
    <mergeCell ref="Q48:S48"/>
    <mergeCell ref="T48:V48"/>
    <mergeCell ref="W48:Y48"/>
    <mergeCell ref="AB48:AK48"/>
    <mergeCell ref="C47:J47"/>
    <mergeCell ref="K47:M47"/>
    <mergeCell ref="C44:J44"/>
    <mergeCell ref="K44:M44"/>
    <mergeCell ref="N44:P44"/>
    <mergeCell ref="Q44:S44"/>
    <mergeCell ref="T44:V44"/>
    <mergeCell ref="W44:Y44"/>
    <mergeCell ref="W42:Y42"/>
    <mergeCell ref="AA42:AI42"/>
    <mergeCell ref="AJ42:AK42"/>
    <mergeCell ref="C43:J43"/>
    <mergeCell ref="K43:M43"/>
    <mergeCell ref="N43:P43"/>
    <mergeCell ref="Q43:S43"/>
    <mergeCell ref="T43:V43"/>
    <mergeCell ref="W43:Y43"/>
    <mergeCell ref="AA44:AK44"/>
    <mergeCell ref="B41:AL41"/>
    <mergeCell ref="B42:J42"/>
    <mergeCell ref="K42:M42"/>
    <mergeCell ref="N42:P42"/>
    <mergeCell ref="Q42:S42"/>
    <mergeCell ref="T42:V42"/>
    <mergeCell ref="U32:AB32"/>
    <mergeCell ref="AC32:AF32"/>
    <mergeCell ref="AG32:AI32"/>
    <mergeCell ref="AJ32:AK32"/>
    <mergeCell ref="B35:T35"/>
    <mergeCell ref="B34:T34"/>
    <mergeCell ref="U34:AL34"/>
    <mergeCell ref="U35:AL35"/>
    <mergeCell ref="U36:AL36"/>
    <mergeCell ref="B36:T40"/>
    <mergeCell ref="B15:AL15"/>
    <mergeCell ref="B16:AB16"/>
    <mergeCell ref="AC16:AG16"/>
    <mergeCell ref="AH16:AK16"/>
    <mergeCell ref="B10:AL10"/>
    <mergeCell ref="B11:AL11"/>
    <mergeCell ref="B12:K12"/>
    <mergeCell ref="AJ12:AK12"/>
    <mergeCell ref="AA12:AI12"/>
    <mergeCell ref="B7:AL7"/>
    <mergeCell ref="B8:AL8"/>
    <mergeCell ref="B9:H9"/>
    <mergeCell ref="I9:Q9"/>
    <mergeCell ref="R9:V9"/>
    <mergeCell ref="W9:AK9"/>
    <mergeCell ref="B1:AL1"/>
    <mergeCell ref="B2:AL2"/>
    <mergeCell ref="B3:AL3"/>
    <mergeCell ref="B4:AL4"/>
    <mergeCell ref="B5:AL5"/>
    <mergeCell ref="B6:E6"/>
    <mergeCell ref="F6:L6"/>
    <mergeCell ref="M6:P6"/>
    <mergeCell ref="R6:AK6"/>
  </mergeCells>
  <conditionalFormatting sqref="R157 J157 S156:S157">
    <cfRule type="expression" dxfId="22" priority="8">
      <formula>M142="Y"</formula>
    </cfRule>
    <cfRule type="expression" dxfId="21" priority="9">
      <formula>L142="Y"</formula>
    </cfRule>
  </conditionalFormatting>
  <conditionalFormatting sqref="K157">
    <cfRule type="expression" dxfId="20" priority="10">
      <formula>W143="Y"</formula>
    </cfRule>
    <cfRule type="expression" dxfId="19" priority="11">
      <formula>M143="Y"</formula>
    </cfRule>
  </conditionalFormatting>
  <conditionalFormatting sqref="Q157">
    <cfRule type="expression" dxfId="18" priority="12">
      <formula>T143="Y"</formula>
    </cfRule>
    <cfRule type="expression" dxfId="17" priority="13">
      <formula>AB143="Y"</formula>
    </cfRule>
  </conditionalFormatting>
  <conditionalFormatting sqref="L157:P157">
    <cfRule type="expression" dxfId="16" priority="14">
      <formula>X143="Y"</formula>
    </cfRule>
    <cfRule type="expression" dxfId="15" priority="15">
      <formula>W143="Y"</formula>
    </cfRule>
  </conditionalFormatting>
  <conditionalFormatting sqref="I9:Q9 W9:AK9">
    <cfRule type="containsBlanks" dxfId="14" priority="7">
      <formula>LEN(TRIM(I9))=0</formula>
    </cfRule>
  </conditionalFormatting>
  <conditionalFormatting sqref="L12:N12 Y12:Z12">
    <cfRule type="containsBlanks" dxfId="13" priority="5">
      <formula>LEN(TRIM(L12))=0</formula>
    </cfRule>
  </conditionalFormatting>
  <conditionalFormatting sqref="AH16:AK16">
    <cfRule type="containsBlanks" dxfId="12" priority="3">
      <formula>LEN(TRIM(AH16))=0</formula>
    </cfRule>
  </conditionalFormatting>
  <conditionalFormatting sqref="AH66:AK66">
    <cfRule type="containsBlanks" dxfId="11" priority="2">
      <formula>LEN(TRIM(AH66))=0</formula>
    </cfRule>
  </conditionalFormatting>
  <conditionalFormatting sqref="AA95:AK95">
    <cfRule type="containsBlanks" dxfId="10" priority="1">
      <formula>LEN(TRIM(AA95))=0</formula>
    </cfRule>
  </conditionalFormatting>
  <dataValidations count="2">
    <dataValidation type="whole" allowBlank="1" showInputMessage="1" showErrorMessage="1" sqref="L12" xr:uid="{95044514-F1AB-479B-894E-35252AB318AA}">
      <formula1>0</formula1>
      <formula2>10000</formula2>
    </dataValidation>
    <dataValidation type="list" allowBlank="1" showInputMessage="1" showErrorMessage="1" sqref="AK115" xr:uid="{35C8DD76-3534-4FF7-AC18-3225EC8ECA98}">
      <formula1>"N,W,S,E,NW,SW,NE,SE"</formula1>
    </dataValidation>
  </dataValidations>
  <pageMargins left="0.25" right="0.25" top="0.75" bottom="0.75" header="0.3" footer="0.3"/>
  <pageSetup orientation="portrait" horizontalDpi="1200" verticalDpi="1200" r:id="rId1"/>
  <rowBreaks count="2" manualBreakCount="2">
    <brk id="64" max="16383" man="1"/>
    <brk id="115" max="16383" man="1"/>
  </rowBreaks>
  <drawing r:id="rId2"/>
  <legacyDrawing r:id="rId3"/>
  <extLst>
    <ext xmlns:x14="http://schemas.microsoft.com/office/spreadsheetml/2009/9/main" uri="{CCE6A557-97BC-4b89-ADB6-D9C93CAAB3DF}">
      <x14:dataValidations xmlns:xm="http://schemas.microsoft.com/office/excel/2006/main" count="8">
        <x14:dataValidation type="list" allowBlank="1" showInputMessage="1" showErrorMessage="1" xr:uid="{C4933BA1-FF69-47B6-B560-39C614DD61E3}">
          <x14:formula1>
            <xm:f>Lists!$V$13:$V$22</xm:f>
          </x14:formula1>
          <xm:sqref>K52:L52</xm:sqref>
        </x14:dataValidation>
        <x14:dataValidation type="list" allowBlank="1" showInputMessage="1" showErrorMessage="1" xr:uid="{621EF22D-F613-472E-9CCB-7A66AE7D5A36}">
          <x14:formula1>
            <xm:f>Lists!$L$1:$L$2</xm:f>
          </x14:formula1>
          <xm:sqref>AA45:AA50 AA97 AA99</xm:sqref>
        </x14:dataValidation>
        <x14:dataValidation type="list" allowBlank="1" showInputMessage="1" showErrorMessage="1" xr:uid="{409F826C-4C15-4312-A991-E48EDA14F341}">
          <x14:formula1>
            <xm:f>Lists!$Z$1:$Z$2</xm:f>
          </x14:formula1>
          <xm:sqref>T43:V46 T48:V49 T93:V96 T98:V99</xm:sqref>
        </x14:dataValidation>
        <x14:dataValidation type="list" allowBlank="1" showInputMessage="1" showErrorMessage="1" xr:uid="{45128AA5-8A56-4CF5-A9A0-4BDC5E0E4838}">
          <x14:formula1>
            <xm:f>Lists!$V$1:$V$3</xm:f>
          </x14:formula1>
          <xm:sqref>H76:I76 H26:I26</xm:sqref>
        </x14:dataValidation>
        <x14:dataValidation type="list" allowBlank="1" showInputMessage="1" showErrorMessage="1" xr:uid="{668EA248-1438-4156-89DF-A0D1DD14F1FA}">
          <x14:formula1>
            <xm:f>Lists!$X$1:$X$3</xm:f>
          </x14:formula1>
          <xm:sqref>R28 AA30 R24:S24 R32 R20 AA28 R78 AA80 R74:S74 R82 R70 AA78</xm:sqref>
        </x14:dataValidation>
        <x14:dataValidation type="list" allowBlank="1" showInputMessage="1" showErrorMessage="1" xr:uid="{BE87196B-DA0E-4585-909D-0954572437A5}">
          <x14:formula1>
            <xm:f>Lists!$V$1:$V$2</xm:f>
          </x14:formula1>
          <xm:sqref>R26:S26 R76:S76</xm:sqref>
        </x14:dataValidation>
        <x14:dataValidation type="list" allowBlank="1" showInputMessage="1" showErrorMessage="1" xr:uid="{71F92420-4FF1-48C6-B17E-474507CDDD33}">
          <x14:formula1>
            <xm:f>Lists!$T$6:$T$12</xm:f>
          </x14:formula1>
          <xm:sqref>AA95:AK95</xm:sqref>
        </x14:dataValidation>
        <x14:dataValidation type="list" allowBlank="1" showInputMessage="1" showErrorMessage="1" xr:uid="{3F24653C-50BF-4F62-90C5-1370E64E6AC4}">
          <x14:formula1>
            <xm:f>Lists!$X$6:$X$14</xm:f>
          </x14:formula1>
          <xm:sqref>AK111 AK113 AK60 AK62</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DAAFD8-265A-49B1-80EA-2F830426886B}">
  <sheetPr>
    <pageSetUpPr fitToPage="1"/>
  </sheetPr>
  <dimension ref="A1:R167"/>
  <sheetViews>
    <sheetView topLeftCell="A100" zoomScale="140" zoomScaleNormal="140" workbookViewId="0">
      <selection activeCell="J106" sqref="J106:K106"/>
    </sheetView>
  </sheetViews>
  <sheetFormatPr defaultColWidth="9.109375" defaultRowHeight="14.4"/>
  <cols>
    <col min="1" max="9" width="4.88671875" customWidth="1"/>
    <col min="10" max="10" width="6" customWidth="1"/>
    <col min="11" max="15" width="4.88671875" customWidth="1"/>
    <col min="16" max="16" width="6" bestFit="1" customWidth="1"/>
    <col min="17" max="18" width="4.88671875" customWidth="1"/>
  </cols>
  <sheetData>
    <row r="1" spans="1:18" s="196" customFormat="1" ht="25.2">
      <c r="A1" s="1897" t="s">
        <v>926</v>
      </c>
      <c r="B1" s="1898"/>
      <c r="C1" s="1898"/>
      <c r="D1" s="1898"/>
      <c r="E1" s="1898"/>
      <c r="F1" s="1898"/>
      <c r="G1" s="1898"/>
      <c r="H1" s="1898"/>
      <c r="I1" s="1898"/>
      <c r="J1" s="1898"/>
      <c r="K1" s="1898"/>
      <c r="L1" s="1898"/>
      <c r="M1" s="1898"/>
      <c r="N1" s="1898"/>
      <c r="O1" s="1898"/>
      <c r="P1" s="1898"/>
      <c r="Q1" s="1898"/>
      <c r="R1" s="1899"/>
    </row>
    <row r="2" spans="1:18" s="197" customFormat="1" ht="21">
      <c r="A2" s="1900" t="s">
        <v>731</v>
      </c>
      <c r="B2" s="1901"/>
      <c r="C2" s="1901"/>
      <c r="D2" s="1901"/>
      <c r="E2" s="1901"/>
      <c r="F2" s="1901"/>
      <c r="G2" s="1901"/>
      <c r="H2" s="1901"/>
      <c r="I2" s="1901"/>
      <c r="J2" s="1901"/>
      <c r="K2" s="1901"/>
      <c r="L2" s="1901"/>
      <c r="M2" s="1901"/>
      <c r="N2" s="1901"/>
      <c r="O2" s="1901"/>
      <c r="P2" s="1901"/>
      <c r="Q2" s="1901"/>
      <c r="R2" s="1902"/>
    </row>
    <row r="3" spans="1:18" s="197" customFormat="1" ht="10.050000000000001" customHeight="1">
      <c r="A3" s="396"/>
      <c r="B3" s="396"/>
      <c r="C3" s="396"/>
      <c r="D3" s="396"/>
      <c r="E3" s="396"/>
      <c r="F3" s="396"/>
      <c r="G3" s="396"/>
      <c r="H3" s="396"/>
      <c r="I3" s="396"/>
      <c r="J3" s="396"/>
      <c r="K3" s="396"/>
      <c r="L3" s="396"/>
      <c r="M3" s="396"/>
      <c r="N3" s="396"/>
      <c r="O3" s="396"/>
      <c r="P3" s="396"/>
      <c r="Q3" s="396"/>
      <c r="R3" s="396"/>
    </row>
    <row r="4" spans="1:18">
      <c r="A4" s="1903" t="s">
        <v>925</v>
      </c>
      <c r="B4" s="1904"/>
      <c r="C4" s="1904"/>
      <c r="D4" s="1904"/>
      <c r="E4" s="1904"/>
      <c r="F4" s="1904"/>
      <c r="G4" s="1904"/>
      <c r="H4" s="1904"/>
      <c r="I4" s="1904"/>
      <c r="J4" s="1904"/>
      <c r="K4" s="1904"/>
      <c r="L4" s="1904"/>
      <c r="M4" s="1904"/>
      <c r="N4" s="1904"/>
      <c r="O4" s="1904"/>
      <c r="P4" s="1904"/>
      <c r="Q4" s="1904"/>
      <c r="R4" s="1905"/>
    </row>
    <row r="5" spans="1:18" s="198" customFormat="1" ht="15" customHeight="1">
      <c r="A5" s="1713" t="s">
        <v>732</v>
      </c>
      <c r="B5" s="1714"/>
      <c r="C5" s="1714"/>
      <c r="D5" s="1714"/>
      <c r="E5" s="1714"/>
      <c r="F5" s="1714"/>
      <c r="G5" s="1714"/>
      <c r="H5" s="1714"/>
      <c r="I5" s="1714"/>
      <c r="J5" s="1714"/>
      <c r="K5" s="1714"/>
      <c r="L5" s="1714"/>
      <c r="M5" s="1714"/>
      <c r="N5" s="1714"/>
      <c r="O5" s="1714"/>
      <c r="P5" s="1714"/>
      <c r="Q5" s="1714"/>
      <c r="R5" s="1715"/>
    </row>
    <row r="6" spans="1:18" ht="18.75" customHeight="1">
      <c r="A6" s="1671" t="s">
        <v>648</v>
      </c>
      <c r="B6" s="1486"/>
      <c r="C6" s="1912" t="str">
        <f>IF('Project Information'!E6="","",'Project Information'!E6)</f>
        <v/>
      </c>
      <c r="D6" s="1912"/>
      <c r="E6" s="1912"/>
      <c r="F6" s="1912"/>
      <c r="G6" s="1912"/>
      <c r="H6" s="1912"/>
      <c r="I6" s="1447" t="s">
        <v>649</v>
      </c>
      <c r="J6" s="1447"/>
      <c r="K6" s="1412" t="str">
        <f>IF('Project Information'!X6="","",'Project Information'!X6)</f>
        <v/>
      </c>
      <c r="L6" s="1412"/>
      <c r="M6" s="1412"/>
      <c r="N6" s="397" t="s">
        <v>1</v>
      </c>
      <c r="O6" s="1913" t="s">
        <v>650</v>
      </c>
      <c r="P6" s="1913"/>
      <c r="Q6" s="1412" t="str">
        <f>IF('Project Information'!AK6="","",'Project Information'!AK6)</f>
        <v/>
      </c>
      <c r="R6" s="1914"/>
    </row>
    <row r="7" spans="1:18" ht="18.75" customHeight="1">
      <c r="A7" s="1906" t="s">
        <v>428</v>
      </c>
      <c r="B7" s="1907"/>
      <c r="C7" s="1412" t="str">
        <f>IF('Project Information'!M12="","",'Project Information'!M12)</f>
        <v/>
      </c>
      <c r="D7" s="1412"/>
      <c r="E7" s="1412"/>
      <c r="F7" s="1412"/>
      <c r="G7" s="1412"/>
      <c r="H7" s="1908" t="s">
        <v>733</v>
      </c>
      <c r="I7" s="1908"/>
      <c r="J7" s="1909"/>
      <c r="K7" s="1909"/>
      <c r="L7" s="1909"/>
      <c r="M7" s="1909"/>
      <c r="N7" s="1910" t="s">
        <v>734</v>
      </c>
      <c r="O7" s="1910"/>
      <c r="P7" s="1909"/>
      <c r="Q7" s="1909"/>
      <c r="R7" s="1911"/>
    </row>
    <row r="8" spans="1:18" ht="18.75" customHeight="1">
      <c r="A8" s="1671" t="s">
        <v>735</v>
      </c>
      <c r="B8" s="1447"/>
      <c r="C8" s="1447"/>
      <c r="D8" s="1447"/>
      <c r="E8" s="1893"/>
      <c r="F8" s="1893"/>
      <c r="G8" s="1893"/>
      <c r="H8" s="1893"/>
      <c r="I8" s="1893"/>
      <c r="J8" s="1447" t="s">
        <v>736</v>
      </c>
      <c r="K8" s="1447"/>
      <c r="L8" s="1447"/>
      <c r="M8" s="1447"/>
      <c r="N8" s="1893"/>
      <c r="O8" s="1893"/>
      <c r="P8" s="1893"/>
      <c r="Q8" s="1893"/>
      <c r="R8" s="1894"/>
    </row>
    <row r="9" spans="1:18" s="199" customFormat="1" ht="13.5" customHeight="1">
      <c r="A9" s="1895" t="s">
        <v>737</v>
      </c>
      <c r="B9" s="1896"/>
      <c r="C9" s="1896"/>
      <c r="D9" s="1896"/>
      <c r="E9" s="1896"/>
      <c r="F9" s="1896"/>
      <c r="G9" s="1896"/>
      <c r="H9" s="1896"/>
      <c r="I9" s="1896"/>
      <c r="J9" s="325"/>
      <c r="K9" s="1838" t="s">
        <v>738</v>
      </c>
      <c r="L9" s="1838"/>
      <c r="M9" s="1838"/>
      <c r="N9" s="1838"/>
      <c r="O9" s="1838"/>
      <c r="P9" s="1838"/>
      <c r="Q9" s="1838"/>
      <c r="R9" s="1839"/>
    </row>
    <row r="10" spans="1:18" s="199" customFormat="1" ht="15" customHeight="1">
      <c r="A10" s="1881" t="s">
        <v>739</v>
      </c>
      <c r="B10" s="1882"/>
      <c r="C10" s="1882"/>
      <c r="D10" s="1882"/>
      <c r="E10" s="1882"/>
      <c r="F10" s="1882"/>
      <c r="G10" s="1882"/>
      <c r="H10" s="1882"/>
      <c r="I10" s="1882"/>
      <c r="J10" s="1882"/>
      <c r="K10" s="1882"/>
      <c r="L10" s="1882"/>
      <c r="M10" s="1882"/>
      <c r="N10" s="1882"/>
      <c r="O10" s="1882"/>
      <c r="P10" s="1882"/>
      <c r="Q10" s="1882"/>
      <c r="R10" s="1883"/>
    </row>
    <row r="11" spans="1:18" s="199" customFormat="1" ht="30" customHeight="1">
      <c r="A11" s="1884" t="s">
        <v>740</v>
      </c>
      <c r="B11" s="1885"/>
      <c r="C11" s="1885"/>
      <c r="D11" s="1886"/>
      <c r="E11" s="1887" t="s">
        <v>741</v>
      </c>
      <c r="F11" s="1888"/>
      <c r="G11" s="1888"/>
      <c r="H11" s="1888"/>
      <c r="I11" s="1888"/>
      <c r="J11" s="1889"/>
      <c r="K11" s="326" t="s">
        <v>742</v>
      </c>
      <c r="L11" s="326" t="s">
        <v>743</v>
      </c>
      <c r="M11" s="1890" t="s">
        <v>744</v>
      </c>
      <c r="N11" s="1891"/>
      <c r="O11" s="1891"/>
      <c r="P11" s="1891"/>
      <c r="Q11" s="1891"/>
      <c r="R11" s="1892"/>
    </row>
    <row r="12" spans="1:18" s="199" customFormat="1" ht="15" customHeight="1">
      <c r="A12" s="1867" t="s">
        <v>745</v>
      </c>
      <c r="B12" s="1868"/>
      <c r="C12" s="1868"/>
      <c r="D12" s="1869"/>
      <c r="E12" s="1857" t="s">
        <v>746</v>
      </c>
      <c r="F12" s="1858"/>
      <c r="G12" s="1858"/>
      <c r="H12" s="1858"/>
      <c r="I12" s="1858"/>
      <c r="J12" s="1859"/>
      <c r="K12" s="327"/>
      <c r="L12" s="327"/>
      <c r="M12" s="1851" t="s">
        <v>747</v>
      </c>
      <c r="N12" s="1852"/>
      <c r="O12" s="1852"/>
      <c r="P12" s="1852"/>
      <c r="Q12" s="1852"/>
      <c r="R12" s="1853"/>
    </row>
    <row r="13" spans="1:18" s="199" customFormat="1" ht="15" customHeight="1">
      <c r="A13" s="1848" t="s">
        <v>748</v>
      </c>
      <c r="B13" s="1849"/>
      <c r="C13" s="1849"/>
      <c r="D13" s="1850"/>
      <c r="E13" s="1744" t="s">
        <v>749</v>
      </c>
      <c r="F13" s="1682"/>
      <c r="G13" s="1682"/>
      <c r="H13" s="1682"/>
      <c r="I13" s="1682"/>
      <c r="J13" s="1812"/>
      <c r="K13" s="328"/>
      <c r="L13" s="328"/>
      <c r="M13" s="1695" t="s">
        <v>750</v>
      </c>
      <c r="N13" s="1696"/>
      <c r="O13" s="1696"/>
      <c r="P13" s="1696"/>
      <c r="Q13" s="1696"/>
      <c r="R13" s="1697"/>
    </row>
    <row r="14" spans="1:18" s="198" customFormat="1" ht="15" customHeight="1">
      <c r="A14" s="1867" t="s">
        <v>751</v>
      </c>
      <c r="B14" s="1868"/>
      <c r="C14" s="1868"/>
      <c r="D14" s="1869"/>
      <c r="E14" s="1813" t="s">
        <v>752</v>
      </c>
      <c r="F14" s="1693"/>
      <c r="G14" s="1693"/>
      <c r="H14" s="1693"/>
      <c r="I14" s="1693"/>
      <c r="J14" s="1874"/>
      <c r="K14" s="327"/>
      <c r="L14" s="327"/>
      <c r="M14" s="1695" t="s">
        <v>753</v>
      </c>
      <c r="N14" s="1696"/>
      <c r="O14" s="1696"/>
      <c r="P14" s="1696"/>
      <c r="Q14" s="1696"/>
      <c r="R14" s="1697"/>
    </row>
    <row r="15" spans="1:18" s="198" customFormat="1" ht="15" customHeight="1">
      <c r="A15" s="1870"/>
      <c r="B15" s="1554"/>
      <c r="C15" s="1554"/>
      <c r="D15" s="1555"/>
      <c r="E15" s="1678" t="s">
        <v>754</v>
      </c>
      <c r="F15" s="1519"/>
      <c r="G15" s="1519"/>
      <c r="H15" s="1519"/>
      <c r="I15" s="1519"/>
      <c r="J15" s="1811"/>
      <c r="K15" s="329"/>
      <c r="L15" s="329"/>
      <c r="M15" s="1871" t="s">
        <v>755</v>
      </c>
      <c r="N15" s="1872"/>
      <c r="O15" s="1872"/>
      <c r="P15" s="1872"/>
      <c r="Q15" s="1872"/>
      <c r="R15" s="1873"/>
    </row>
    <row r="16" spans="1:18" s="198" customFormat="1" ht="15" customHeight="1">
      <c r="A16" s="1870"/>
      <c r="B16" s="1554"/>
      <c r="C16" s="1554"/>
      <c r="D16" s="1555"/>
      <c r="E16" s="1875" t="s">
        <v>756</v>
      </c>
      <c r="F16" s="1876"/>
      <c r="G16" s="1876"/>
      <c r="H16" s="1876"/>
      <c r="I16" s="1876"/>
      <c r="J16" s="1877"/>
      <c r="K16" s="329"/>
      <c r="L16" s="329"/>
      <c r="M16" s="1878" t="s">
        <v>757</v>
      </c>
      <c r="N16" s="1879"/>
      <c r="O16" s="1879"/>
      <c r="P16" s="1879"/>
      <c r="Q16" s="1879"/>
      <c r="R16" s="1880"/>
    </row>
    <row r="17" spans="1:18" s="198" customFormat="1" ht="15" customHeight="1">
      <c r="A17" s="1864" t="s">
        <v>758</v>
      </c>
      <c r="B17" s="1865"/>
      <c r="C17" s="1865"/>
      <c r="D17" s="1866"/>
      <c r="E17" s="1744" t="s">
        <v>759</v>
      </c>
      <c r="F17" s="1682"/>
      <c r="G17" s="1682"/>
      <c r="H17" s="1682"/>
      <c r="I17" s="1682"/>
      <c r="J17" s="1812"/>
      <c r="K17" s="328"/>
      <c r="L17" s="328"/>
      <c r="M17" s="1695" t="s">
        <v>760</v>
      </c>
      <c r="N17" s="1696"/>
      <c r="O17" s="1696"/>
      <c r="P17" s="1696"/>
      <c r="Q17" s="1696"/>
      <c r="R17" s="1697"/>
    </row>
    <row r="18" spans="1:18" s="198" customFormat="1" ht="15" customHeight="1">
      <c r="A18" s="330" t="s">
        <v>761</v>
      </c>
      <c r="B18" s="331"/>
      <c r="C18" s="331"/>
      <c r="D18" s="331"/>
      <c r="E18" s="331"/>
      <c r="F18" s="331"/>
      <c r="G18" s="331"/>
      <c r="H18" s="331"/>
      <c r="I18" s="331"/>
      <c r="J18" s="331"/>
      <c r="K18" s="331"/>
      <c r="L18" s="331"/>
      <c r="M18" s="1835" t="s">
        <v>762</v>
      </c>
      <c r="N18" s="1779"/>
      <c r="O18" s="1779"/>
      <c r="P18" s="1779"/>
      <c r="Q18" s="1779"/>
      <c r="R18" s="1836"/>
    </row>
    <row r="19" spans="1:18" ht="15" customHeight="1">
      <c r="A19" s="1867" t="s">
        <v>763</v>
      </c>
      <c r="B19" s="1868"/>
      <c r="C19" s="1868"/>
      <c r="D19" s="1869"/>
      <c r="E19" s="1857" t="s">
        <v>764</v>
      </c>
      <c r="F19" s="1858"/>
      <c r="G19" s="1858"/>
      <c r="H19" s="1858"/>
      <c r="I19" s="1858"/>
      <c r="J19" s="1859"/>
      <c r="K19" s="327"/>
      <c r="L19" s="327"/>
      <c r="M19" s="1835" t="s">
        <v>765</v>
      </c>
      <c r="N19" s="1779"/>
      <c r="O19" s="1779"/>
      <c r="P19" s="1779"/>
      <c r="Q19" s="1779"/>
      <c r="R19" s="1836"/>
    </row>
    <row r="20" spans="1:18" ht="15" customHeight="1">
      <c r="A20" s="1870"/>
      <c r="B20" s="1554"/>
      <c r="C20" s="1554"/>
      <c r="D20" s="1555"/>
      <c r="E20" s="1861" t="s">
        <v>766</v>
      </c>
      <c r="F20" s="1862"/>
      <c r="G20" s="1862"/>
      <c r="H20" s="1862"/>
      <c r="I20" s="1862"/>
      <c r="J20" s="1863"/>
      <c r="K20" s="329"/>
      <c r="L20" s="329"/>
      <c r="M20" s="1871" t="s">
        <v>767</v>
      </c>
      <c r="N20" s="1872"/>
      <c r="O20" s="1872"/>
      <c r="P20" s="1872"/>
      <c r="Q20" s="1872"/>
      <c r="R20" s="1873"/>
    </row>
    <row r="21" spans="1:18" ht="15" customHeight="1">
      <c r="A21" s="1848" t="s">
        <v>768</v>
      </c>
      <c r="B21" s="1849"/>
      <c r="C21" s="1849"/>
      <c r="D21" s="1850"/>
      <c r="E21" s="1840" t="s">
        <v>769</v>
      </c>
      <c r="F21" s="1841"/>
      <c r="G21" s="1841"/>
      <c r="H21" s="1841"/>
      <c r="I21" s="1841"/>
      <c r="J21" s="1842"/>
      <c r="K21" s="328"/>
      <c r="L21" s="328"/>
      <c r="M21" s="1851" t="s">
        <v>770</v>
      </c>
      <c r="N21" s="1852"/>
      <c r="O21" s="1852"/>
      <c r="P21" s="1852"/>
      <c r="Q21" s="1852"/>
      <c r="R21" s="1853"/>
    </row>
    <row r="22" spans="1:18" ht="15" customHeight="1">
      <c r="A22" s="1775" t="s">
        <v>771</v>
      </c>
      <c r="B22" s="1583"/>
      <c r="C22" s="1583"/>
      <c r="D22" s="1584"/>
      <c r="E22" s="1857" t="s">
        <v>772</v>
      </c>
      <c r="F22" s="1858"/>
      <c r="G22" s="1858"/>
      <c r="H22" s="1858"/>
      <c r="I22" s="1858"/>
      <c r="J22" s="1859"/>
      <c r="K22" s="327"/>
      <c r="L22" s="327"/>
      <c r="M22" s="1695" t="s">
        <v>760</v>
      </c>
      <c r="N22" s="1696"/>
      <c r="O22" s="1696"/>
      <c r="P22" s="1696"/>
      <c r="Q22" s="1696"/>
      <c r="R22" s="1697"/>
    </row>
    <row r="23" spans="1:18" ht="15" customHeight="1">
      <c r="A23" s="1776"/>
      <c r="B23" s="1529"/>
      <c r="C23" s="1529"/>
      <c r="D23" s="1585"/>
      <c r="E23" s="1777" t="s">
        <v>773</v>
      </c>
      <c r="F23" s="1778"/>
      <c r="G23" s="1778"/>
      <c r="H23" s="1778"/>
      <c r="I23" s="1778"/>
      <c r="J23" s="1860"/>
      <c r="K23" s="329"/>
      <c r="L23" s="329"/>
      <c r="M23" s="1835" t="s">
        <v>774</v>
      </c>
      <c r="N23" s="1779"/>
      <c r="O23" s="1779"/>
      <c r="P23" s="1779"/>
      <c r="Q23" s="1779"/>
      <c r="R23" s="1836"/>
    </row>
    <row r="24" spans="1:18" ht="15" customHeight="1">
      <c r="A24" s="1776"/>
      <c r="B24" s="1529"/>
      <c r="C24" s="1529"/>
      <c r="D24" s="1585"/>
      <c r="E24" s="1861" t="s">
        <v>775</v>
      </c>
      <c r="F24" s="1862"/>
      <c r="G24" s="1862"/>
      <c r="H24" s="1862"/>
      <c r="I24" s="1862"/>
      <c r="J24" s="1863"/>
      <c r="K24" s="1834"/>
      <c r="L24" s="1834"/>
      <c r="M24" s="1835" t="s">
        <v>776</v>
      </c>
      <c r="N24" s="1779"/>
      <c r="O24" s="1779"/>
      <c r="P24" s="1779"/>
      <c r="Q24" s="1779"/>
      <c r="R24" s="1836"/>
    </row>
    <row r="25" spans="1:18" ht="15" customHeight="1">
      <c r="A25" s="1776"/>
      <c r="B25" s="1529"/>
      <c r="C25" s="1529"/>
      <c r="D25" s="1585"/>
      <c r="E25" s="1861"/>
      <c r="F25" s="1862"/>
      <c r="G25" s="1862"/>
      <c r="H25" s="1862"/>
      <c r="I25" s="1862"/>
      <c r="J25" s="1863"/>
      <c r="K25" s="1834"/>
      <c r="L25" s="1834"/>
      <c r="M25" s="1837" t="s">
        <v>767</v>
      </c>
      <c r="N25" s="1838"/>
      <c r="O25" s="1838"/>
      <c r="P25" s="1838"/>
      <c r="Q25" s="1838"/>
      <c r="R25" s="1839"/>
    </row>
    <row r="26" spans="1:18" ht="15" customHeight="1">
      <c r="A26" s="1854"/>
      <c r="B26" s="1855"/>
      <c r="C26" s="1855"/>
      <c r="D26" s="1856"/>
      <c r="E26" s="1840" t="s">
        <v>777</v>
      </c>
      <c r="F26" s="1841"/>
      <c r="G26" s="1841"/>
      <c r="H26" s="1841"/>
      <c r="I26" s="1841"/>
      <c r="J26" s="1842"/>
      <c r="K26" s="328"/>
      <c r="L26" s="328"/>
      <c r="M26" s="1843" t="s">
        <v>778</v>
      </c>
      <c r="N26" s="1844"/>
      <c r="O26" s="1844"/>
      <c r="P26" s="1844"/>
      <c r="Q26" s="1844"/>
      <c r="R26" s="1845"/>
    </row>
    <row r="27" spans="1:18" ht="15" customHeight="1">
      <c r="A27" s="1819" t="s">
        <v>779</v>
      </c>
      <c r="B27" s="1820"/>
      <c r="C27" s="1820"/>
      <c r="D27" s="1820"/>
      <c r="E27" s="1820"/>
      <c r="F27" s="1820"/>
      <c r="G27" s="1820"/>
      <c r="H27" s="1821"/>
      <c r="I27" s="1846" t="s">
        <v>780</v>
      </c>
      <c r="J27" s="1846"/>
      <c r="K27" s="1846"/>
      <c r="L27" s="1846"/>
      <c r="M27" s="1846"/>
      <c r="N27" s="1846"/>
      <c r="O27" s="1846"/>
      <c r="P27" s="1846"/>
      <c r="Q27" s="1846"/>
      <c r="R27" s="1847"/>
    </row>
    <row r="28" spans="1:18" ht="15" customHeight="1">
      <c r="A28" s="1819" t="s">
        <v>781</v>
      </c>
      <c r="B28" s="1820"/>
      <c r="C28" s="1820"/>
      <c r="D28" s="1820"/>
      <c r="E28" s="1820"/>
      <c r="F28" s="1820"/>
      <c r="G28" s="1820"/>
      <c r="H28" s="1820"/>
      <c r="I28" s="1820"/>
      <c r="J28" s="1821"/>
      <c r="K28" s="1822" t="s">
        <v>782</v>
      </c>
      <c r="L28" s="1823"/>
      <c r="M28" s="1822" t="s">
        <v>783</v>
      </c>
      <c r="N28" s="1823"/>
      <c r="O28" s="1822" t="s">
        <v>784</v>
      </c>
      <c r="P28" s="1824"/>
      <c r="Q28" s="1824"/>
      <c r="R28" s="1823"/>
    </row>
    <row r="29" spans="1:18" ht="15" customHeight="1">
      <c r="A29" s="1825" t="s">
        <v>785</v>
      </c>
      <c r="B29" s="1826"/>
      <c r="C29" s="1826"/>
      <c r="D29" s="1826"/>
      <c r="E29" s="1826"/>
      <c r="F29" s="1826"/>
      <c r="G29" s="1826"/>
      <c r="H29" s="1826"/>
      <c r="I29" s="1826"/>
      <c r="J29" s="1826"/>
      <c r="K29" s="1826"/>
      <c r="L29" s="1826"/>
      <c r="M29" s="1826"/>
      <c r="N29" s="1826"/>
      <c r="O29" s="1826"/>
      <c r="P29" s="1826"/>
      <c r="Q29" s="1826"/>
      <c r="R29" s="1827"/>
    </row>
    <row r="30" spans="1:18" ht="15" customHeight="1">
      <c r="A30" s="1828"/>
      <c r="B30" s="1829"/>
      <c r="C30" s="1829"/>
      <c r="D30" s="1829"/>
      <c r="E30" s="1829"/>
      <c r="F30" s="1829"/>
      <c r="G30" s="1829"/>
      <c r="H30" s="1829"/>
      <c r="I30" s="1829"/>
      <c r="J30" s="1829"/>
      <c r="K30" s="1829"/>
      <c r="L30" s="1829"/>
      <c r="M30" s="1829"/>
      <c r="N30" s="1829"/>
      <c r="O30" s="1829"/>
      <c r="P30" s="1829"/>
      <c r="Q30" s="1829"/>
      <c r="R30" s="1830"/>
    </row>
    <row r="31" spans="1:18" ht="18.75" customHeight="1">
      <c r="A31" s="1665"/>
      <c r="B31" s="1666"/>
      <c r="C31" s="1666"/>
      <c r="D31" s="1666"/>
      <c r="E31" s="1666"/>
      <c r="F31" s="1666"/>
      <c r="G31" s="1666"/>
      <c r="H31" s="1666"/>
      <c r="I31" s="1666"/>
      <c r="J31" s="1666"/>
      <c r="K31" s="1666"/>
      <c r="L31" s="1666"/>
      <c r="M31" s="1666"/>
      <c r="N31" s="1666"/>
      <c r="O31" s="1666"/>
      <c r="P31" s="1666"/>
      <c r="Q31" s="1666"/>
      <c r="R31" s="1667"/>
    </row>
    <row r="32" spans="1:18" ht="18.75" customHeight="1">
      <c r="A32" s="1831"/>
      <c r="B32" s="1832"/>
      <c r="C32" s="1832"/>
      <c r="D32" s="1832"/>
      <c r="E32" s="1832"/>
      <c r="F32" s="1832"/>
      <c r="G32" s="1832"/>
      <c r="H32" s="1832"/>
      <c r="I32" s="1832"/>
      <c r="J32" s="1832"/>
      <c r="K32" s="1832"/>
      <c r="L32" s="1832"/>
      <c r="M32" s="1832"/>
      <c r="N32" s="1832"/>
      <c r="O32" s="1832"/>
      <c r="P32" s="1832"/>
      <c r="Q32" s="1832"/>
      <c r="R32" s="1833"/>
    </row>
    <row r="33" spans="1:18" s="198" customFormat="1" ht="15" customHeight="1">
      <c r="A33" s="1713" t="s">
        <v>786</v>
      </c>
      <c r="B33" s="1714"/>
      <c r="C33" s="1714"/>
      <c r="D33" s="1714"/>
      <c r="E33" s="1714"/>
      <c r="F33" s="1714"/>
      <c r="G33" s="1714"/>
      <c r="H33" s="1714"/>
      <c r="I33" s="1714"/>
      <c r="J33" s="1714"/>
      <c r="K33" s="1714"/>
      <c r="L33" s="1714"/>
      <c r="M33" s="1714"/>
      <c r="N33" s="1714"/>
      <c r="O33" s="1714"/>
      <c r="P33" s="1714"/>
      <c r="Q33" s="1714"/>
      <c r="R33" s="1715"/>
    </row>
    <row r="34" spans="1:18" ht="20.25" customHeight="1">
      <c r="A34" s="1813" t="s">
        <v>787</v>
      </c>
      <c r="B34" s="1693"/>
      <c r="C34" s="1693"/>
      <c r="D34" s="1693"/>
      <c r="E34" s="1693"/>
      <c r="F34" s="1693"/>
      <c r="G34" s="1693"/>
      <c r="H34" s="1693"/>
      <c r="I34" s="1814"/>
      <c r="J34" s="1815"/>
      <c r="K34" s="332" t="s">
        <v>788</v>
      </c>
      <c r="L34" s="333" t="s">
        <v>789</v>
      </c>
      <c r="M34" s="333" t="s">
        <v>790</v>
      </c>
      <c r="N34" s="333" t="s">
        <v>789</v>
      </c>
      <c r="O34" s="333" t="s">
        <v>791</v>
      </c>
      <c r="P34" s="333" t="s">
        <v>789</v>
      </c>
      <c r="Q34" s="333" t="s">
        <v>792</v>
      </c>
      <c r="R34" s="334" t="s">
        <v>789</v>
      </c>
    </row>
    <row r="35" spans="1:18">
      <c r="A35" s="1678" t="s">
        <v>793</v>
      </c>
      <c r="B35" s="1519"/>
      <c r="C35" s="1519"/>
      <c r="D35" s="1519"/>
      <c r="E35" s="1519"/>
      <c r="F35" s="1519"/>
      <c r="G35" s="1519"/>
      <c r="H35" s="1519"/>
      <c r="I35" s="1519"/>
      <c r="J35" s="1811"/>
      <c r="K35" s="335"/>
      <c r="L35" s="336"/>
      <c r="M35" s="335"/>
      <c r="N35" s="336"/>
      <c r="O35" s="335"/>
      <c r="P35" s="336"/>
      <c r="Q35" s="335"/>
      <c r="R35" s="336"/>
    </row>
    <row r="36" spans="1:18">
      <c r="A36" s="1816" t="s">
        <v>794</v>
      </c>
      <c r="B36" s="1817"/>
      <c r="C36" s="1817"/>
      <c r="D36" s="1817"/>
      <c r="E36" s="1817"/>
      <c r="F36" s="1817"/>
      <c r="G36" s="1817"/>
      <c r="H36" s="1817"/>
      <c r="I36" s="1817"/>
      <c r="J36" s="1818"/>
      <c r="K36" s="337"/>
      <c r="L36" s="338"/>
      <c r="M36" s="337"/>
      <c r="N36" s="339"/>
      <c r="O36" s="337"/>
      <c r="P36" s="338"/>
      <c r="Q36" s="337"/>
      <c r="R36" s="340"/>
    </row>
    <row r="37" spans="1:18">
      <c r="A37" s="1678" t="s">
        <v>795</v>
      </c>
      <c r="B37" s="1519"/>
      <c r="C37" s="1519"/>
      <c r="D37" s="1519"/>
      <c r="E37" s="1519"/>
      <c r="F37" s="1519"/>
      <c r="G37" s="1519"/>
      <c r="H37" s="1519"/>
      <c r="I37" s="1519"/>
      <c r="J37" s="1811"/>
      <c r="K37" s="337"/>
      <c r="L37" s="341"/>
      <c r="M37" s="337"/>
      <c r="N37" s="342"/>
      <c r="O37" s="337"/>
      <c r="P37" s="341"/>
      <c r="Q37" s="337"/>
      <c r="R37" s="343"/>
    </row>
    <row r="38" spans="1:18">
      <c r="A38" s="1678" t="s">
        <v>796</v>
      </c>
      <c r="B38" s="1519"/>
      <c r="C38" s="1519"/>
      <c r="D38" s="1519"/>
      <c r="E38" s="1519"/>
      <c r="F38" s="1519"/>
      <c r="G38" s="1519"/>
      <c r="H38" s="1519"/>
      <c r="I38" s="1519"/>
      <c r="J38" s="1811"/>
      <c r="K38" s="337"/>
      <c r="L38" s="341"/>
      <c r="M38" s="337"/>
      <c r="N38" s="342"/>
      <c r="O38" s="337"/>
      <c r="P38" s="341"/>
      <c r="Q38" s="337"/>
      <c r="R38" s="343"/>
    </row>
    <row r="39" spans="1:18">
      <c r="A39" s="1678" t="s">
        <v>797</v>
      </c>
      <c r="B39" s="1519"/>
      <c r="C39" s="1519"/>
      <c r="D39" s="1519"/>
      <c r="E39" s="1519"/>
      <c r="F39" s="1519"/>
      <c r="G39" s="1519"/>
      <c r="H39" s="1519"/>
      <c r="I39" s="1519"/>
      <c r="J39" s="1811"/>
      <c r="K39" s="337"/>
      <c r="L39" s="341"/>
      <c r="M39" s="337"/>
      <c r="N39" s="342"/>
      <c r="O39" s="337"/>
      <c r="P39" s="341"/>
      <c r="Q39" s="337"/>
      <c r="R39" s="343"/>
    </row>
    <row r="40" spans="1:18">
      <c r="A40" s="1744" t="s">
        <v>798</v>
      </c>
      <c r="B40" s="1682"/>
      <c r="C40" s="1682"/>
      <c r="D40" s="1682"/>
      <c r="E40" s="1682"/>
      <c r="F40" s="1682"/>
      <c r="G40" s="1682"/>
      <c r="H40" s="1682"/>
      <c r="I40" s="1682"/>
      <c r="J40" s="1812"/>
      <c r="K40" s="344"/>
      <c r="L40" s="345"/>
      <c r="M40" s="344"/>
      <c r="N40" s="346"/>
      <c r="O40" s="344"/>
      <c r="P40" s="345"/>
      <c r="Q40" s="344"/>
      <c r="R40" s="347"/>
    </row>
    <row r="41" spans="1:18">
      <c r="A41" s="1780"/>
      <c r="B41" s="1781"/>
      <c r="C41" s="1781"/>
      <c r="D41" s="1781"/>
      <c r="E41" s="1781"/>
      <c r="F41" s="1781"/>
      <c r="G41" s="1781"/>
      <c r="H41" s="1781"/>
      <c r="I41" s="1781"/>
      <c r="J41" s="1781"/>
      <c r="K41" s="1781"/>
      <c r="L41" s="1781"/>
      <c r="M41" s="1781"/>
      <c r="N41" s="1781"/>
      <c r="O41" s="1781"/>
      <c r="P41" s="1781"/>
      <c r="Q41" s="1781"/>
      <c r="R41" s="1782"/>
    </row>
    <row r="42" spans="1:18" ht="15" thickBot="1">
      <c r="A42" s="1731"/>
      <c r="B42" s="1732"/>
      <c r="C42" s="1732"/>
      <c r="D42" s="1732"/>
      <c r="E42" s="1732"/>
      <c r="F42" s="1732"/>
      <c r="G42" s="1732"/>
      <c r="H42" s="1732"/>
      <c r="I42" s="1732"/>
      <c r="J42" s="1732"/>
      <c r="K42" s="1732"/>
      <c r="L42" s="1732"/>
      <c r="M42" s="1732"/>
      <c r="N42" s="1732"/>
      <c r="O42" s="1732"/>
      <c r="P42" s="1732"/>
      <c r="Q42" s="1732"/>
      <c r="R42" s="1733"/>
    </row>
    <row r="43" spans="1:18" ht="15.75" customHeight="1">
      <c r="A43" s="1734" t="s">
        <v>799</v>
      </c>
      <c r="B43" s="1735"/>
      <c r="C43" s="1735"/>
      <c r="D43" s="1735"/>
      <c r="E43" s="1735"/>
      <c r="F43" s="1735"/>
      <c r="G43" s="1735"/>
      <c r="H43" s="1735"/>
      <c r="I43" s="1735"/>
      <c r="J43" s="1735"/>
      <c r="K43" s="1735"/>
      <c r="L43" s="1735"/>
      <c r="M43" s="1735"/>
      <c r="N43" s="1735"/>
      <c r="O43" s="1735"/>
      <c r="P43" s="1735"/>
      <c r="Q43" s="1735"/>
      <c r="R43" s="1736"/>
    </row>
    <row r="44" spans="1:18" ht="15.75" customHeight="1">
      <c r="A44" s="1657" t="s">
        <v>800</v>
      </c>
      <c r="B44" s="1658"/>
      <c r="C44" s="1658"/>
      <c r="D44" s="1658"/>
      <c r="E44" s="1658"/>
      <c r="F44" s="1658"/>
      <c r="G44" s="1658"/>
      <c r="H44" s="1658"/>
      <c r="I44" s="1658"/>
      <c r="J44" s="1658"/>
      <c r="K44" s="1658"/>
      <c r="L44" s="1658"/>
      <c r="M44" s="1658"/>
      <c r="N44" s="1658"/>
      <c r="O44" s="1658"/>
      <c r="P44" s="1658"/>
      <c r="Q44" s="1737" t="s">
        <v>801</v>
      </c>
      <c r="R44" s="1738"/>
    </row>
    <row r="45" spans="1:18" s="196" customFormat="1" ht="22.8">
      <c r="A45" s="1739" t="str">
        <f>A1</f>
        <v>Ameren Illinois Energy Efficiency Program</v>
      </c>
      <c r="B45" s="1740"/>
      <c r="C45" s="1740"/>
      <c r="D45" s="1740"/>
      <c r="E45" s="1740"/>
      <c r="F45" s="1740"/>
      <c r="G45" s="1740"/>
      <c r="H45" s="1740"/>
      <c r="I45" s="1740"/>
      <c r="J45" s="1740"/>
      <c r="K45" s="1740"/>
      <c r="L45" s="1740"/>
      <c r="M45" s="1740"/>
      <c r="N45" s="1740"/>
      <c r="O45" s="1740"/>
      <c r="P45" s="1740"/>
      <c r="Q45" s="1740"/>
      <c r="R45" s="1741"/>
    </row>
    <row r="46" spans="1:18" s="197" customFormat="1" ht="21">
      <c r="A46" s="1723" t="str">
        <f>A2</f>
        <v>Energy Audit Diagnostic Test Form</v>
      </c>
      <c r="B46" s="1724"/>
      <c r="C46" s="1724"/>
      <c r="D46" s="1724"/>
      <c r="E46" s="1724"/>
      <c r="F46" s="1724"/>
      <c r="G46" s="1724"/>
      <c r="H46" s="1724"/>
      <c r="I46" s="1724"/>
      <c r="J46" s="1724"/>
      <c r="K46" s="1724"/>
      <c r="L46" s="1724"/>
      <c r="M46" s="1724"/>
      <c r="N46" s="1724"/>
      <c r="O46" s="1724"/>
      <c r="P46" s="1724"/>
      <c r="Q46" s="1724"/>
      <c r="R46" s="1725"/>
    </row>
    <row r="47" spans="1:18" ht="15" customHeight="1">
      <c r="A47" s="348"/>
      <c r="B47" s="349" t="s">
        <v>428</v>
      </c>
      <c r="C47" s="1726" t="e">
        <f>IF(#REF!="","",#REF!)</f>
        <v>#REF!</v>
      </c>
      <c r="D47" s="1726"/>
      <c r="E47" s="1726"/>
      <c r="F47" s="1726"/>
      <c r="G47" s="350"/>
      <c r="H47" s="351"/>
      <c r="I47" s="352" t="s">
        <v>802</v>
      </c>
      <c r="J47" s="1726" t="s">
        <v>927</v>
      </c>
      <c r="K47" s="1726"/>
      <c r="L47" s="1726"/>
      <c r="M47" s="1726"/>
      <c r="N47" s="1726"/>
      <c r="O47" s="1726"/>
      <c r="P47" s="1726"/>
      <c r="Q47" s="1726"/>
      <c r="R47" s="1727"/>
    </row>
    <row r="48" spans="1:18" s="198" customFormat="1" ht="15" customHeight="1">
      <c r="A48" s="1713" t="s">
        <v>803</v>
      </c>
      <c r="B48" s="1714"/>
      <c r="C48" s="1714"/>
      <c r="D48" s="1714"/>
      <c r="E48" s="1714"/>
      <c r="F48" s="1714"/>
      <c r="G48" s="1714"/>
      <c r="H48" s="1714"/>
      <c r="I48" s="1714"/>
      <c r="J48" s="1714"/>
      <c r="K48" s="1714"/>
      <c r="L48" s="1714"/>
      <c r="M48" s="1714"/>
      <c r="N48" s="1714"/>
      <c r="O48" s="1714"/>
      <c r="P48" s="1714"/>
      <c r="Q48" s="1714"/>
      <c r="R48" s="1715"/>
    </row>
    <row r="49" spans="1:18" s="198" customFormat="1" ht="15" customHeight="1">
      <c r="A49" s="1783" t="s">
        <v>804</v>
      </c>
      <c r="B49" s="1784"/>
      <c r="C49" s="1784"/>
      <c r="D49" s="1784"/>
      <c r="E49" s="1784"/>
      <c r="F49" s="1784"/>
      <c r="G49" s="1784"/>
      <c r="H49" s="1784"/>
      <c r="I49" s="1784"/>
      <c r="J49" s="1784"/>
      <c r="K49" s="1784"/>
      <c r="L49" s="1784"/>
      <c r="M49" s="1784"/>
      <c r="N49" s="1784"/>
      <c r="O49" s="1784"/>
      <c r="P49" s="1784"/>
      <c r="Q49" s="1784"/>
      <c r="R49" s="1785"/>
    </row>
    <row r="50" spans="1:18">
      <c r="A50" s="1808"/>
      <c r="B50" s="1809"/>
      <c r="C50" s="1809"/>
      <c r="D50" s="1810"/>
      <c r="E50" s="1746" t="s">
        <v>805</v>
      </c>
      <c r="F50" s="1747"/>
      <c r="G50" s="1746" t="s">
        <v>806</v>
      </c>
      <c r="H50" s="1710"/>
      <c r="I50" s="1710"/>
      <c r="J50" s="1710"/>
      <c r="K50" s="1710"/>
      <c r="L50" s="1747"/>
      <c r="M50" s="1746" t="s">
        <v>807</v>
      </c>
      <c r="N50" s="1710"/>
      <c r="O50" s="1710"/>
      <c r="P50" s="1710"/>
      <c r="Q50" s="1710"/>
      <c r="R50" s="1747"/>
    </row>
    <row r="51" spans="1:18" s="6" customFormat="1">
      <c r="A51" s="1800"/>
      <c r="B51" s="1802" t="s">
        <v>808</v>
      </c>
      <c r="C51" s="1803"/>
      <c r="D51" s="1806" t="s">
        <v>809</v>
      </c>
      <c r="E51" s="1748" t="s">
        <v>810</v>
      </c>
      <c r="F51" s="1743"/>
      <c r="G51" s="353" t="s">
        <v>811</v>
      </c>
      <c r="H51" s="354" t="s">
        <v>812</v>
      </c>
      <c r="I51" s="1742" t="s">
        <v>813</v>
      </c>
      <c r="J51" s="1742"/>
      <c r="K51" s="354" t="s">
        <v>814</v>
      </c>
      <c r="L51" s="355"/>
      <c r="M51" s="353" t="s">
        <v>811</v>
      </c>
      <c r="N51" s="354" t="s">
        <v>812</v>
      </c>
      <c r="O51" s="1742" t="s">
        <v>813</v>
      </c>
      <c r="P51" s="1742"/>
      <c r="Q51" s="354" t="s">
        <v>814</v>
      </c>
      <c r="R51" s="355"/>
    </row>
    <row r="52" spans="1:18" s="6" customFormat="1">
      <c r="A52" s="1801"/>
      <c r="B52" s="1804"/>
      <c r="C52" s="1805"/>
      <c r="D52" s="1807"/>
      <c r="E52" s="353" t="s">
        <v>815</v>
      </c>
      <c r="F52" s="356" t="s">
        <v>816</v>
      </c>
      <c r="G52" s="353" t="s">
        <v>817</v>
      </c>
      <c r="H52" s="354" t="s">
        <v>817</v>
      </c>
      <c r="I52" s="354" t="s">
        <v>818</v>
      </c>
      <c r="J52" s="354" t="s">
        <v>817</v>
      </c>
      <c r="K52" s="357" t="s">
        <v>819</v>
      </c>
      <c r="L52" s="356" t="s">
        <v>820</v>
      </c>
      <c r="M52" s="353" t="s">
        <v>817</v>
      </c>
      <c r="N52" s="354" t="s">
        <v>817</v>
      </c>
      <c r="O52" s="354" t="s">
        <v>818</v>
      </c>
      <c r="P52" s="354" t="s">
        <v>817</v>
      </c>
      <c r="Q52" s="357" t="s">
        <v>819</v>
      </c>
      <c r="R52" s="356" t="s">
        <v>820</v>
      </c>
    </row>
    <row r="53" spans="1:18">
      <c r="A53" s="1796" t="s">
        <v>821</v>
      </c>
      <c r="B53" s="1797"/>
      <c r="C53" s="358"/>
      <c r="D53" s="358"/>
      <c r="E53" s="359"/>
      <c r="F53" s="360"/>
      <c r="G53" s="361"/>
      <c r="H53" s="362"/>
      <c r="I53" s="363" t="str">
        <f>IFERROR(IF(H53&gt;20.9,9999,IF(OR(G53="",H53=""),"",(20.9/(20.9-H53)*G53))),9999)</f>
        <v/>
      </c>
      <c r="J53" s="364"/>
      <c r="K53" s="365"/>
      <c r="L53" s="366"/>
      <c r="M53" s="361"/>
      <c r="N53" s="362"/>
      <c r="O53" s="363" t="str">
        <f>IFERROR(IF(N53&gt;20.9,9999,IF(OR(M53="",N53=""),"",(20.9/(20.9-N53)*M53))),9999)</f>
        <v/>
      </c>
      <c r="P53" s="364"/>
      <c r="Q53" s="365"/>
      <c r="R53" s="366"/>
    </row>
    <row r="54" spans="1:18">
      <c r="A54" s="1695" t="s">
        <v>822</v>
      </c>
      <c r="B54" s="1697"/>
      <c r="C54" s="358"/>
      <c r="D54" s="358"/>
      <c r="E54" s="359"/>
      <c r="F54" s="360"/>
      <c r="G54" s="361"/>
      <c r="H54" s="362"/>
      <c r="I54" s="363" t="str">
        <f>IFERROR(IF(H54&gt;20.9,9999,IF(OR(G54="",H54=""),"",(20.9/(20.9-H54)*G54))),9999)</f>
        <v/>
      </c>
      <c r="J54" s="364"/>
      <c r="K54" s="365"/>
      <c r="L54" s="366"/>
      <c r="M54" s="361"/>
      <c r="N54" s="362"/>
      <c r="O54" s="363" t="str">
        <f>IFERROR(IF(N54&gt;20.9,9999,IF(OR(M54="",N54=""),"",(20.9/(20.9-N54)*M54))),9999)</f>
        <v/>
      </c>
      <c r="P54" s="364"/>
      <c r="Q54" s="365"/>
      <c r="R54" s="366"/>
    </row>
    <row r="55" spans="1:18">
      <c r="A55" s="1695" t="s">
        <v>19</v>
      </c>
      <c r="B55" s="1697"/>
      <c r="C55" s="358"/>
      <c r="D55" s="358"/>
      <c r="E55" s="359"/>
      <c r="F55" s="360"/>
      <c r="G55" s="361"/>
      <c r="H55" s="362"/>
      <c r="I55" s="363" t="str">
        <f>IFERROR(IF(H55&gt;20.9,9999,IF(OR(G55="",H55=""),"",(20.9/(20.9-H55)*G55))),9999)</f>
        <v/>
      </c>
      <c r="J55" s="364"/>
      <c r="K55" s="365"/>
      <c r="L55" s="366"/>
      <c r="M55" s="361"/>
      <c r="N55" s="362"/>
      <c r="O55" s="363" t="str">
        <f>IFERROR(IF(N55&gt;20.9,9999,IF(OR(M55="",N55=""),"",(20.9/(20.9-N55)*M55))),9999)</f>
        <v/>
      </c>
      <c r="P55" s="364"/>
      <c r="Q55" s="365"/>
      <c r="R55" s="366"/>
    </row>
    <row r="56" spans="1:18">
      <c r="A56" s="1695" t="s">
        <v>19</v>
      </c>
      <c r="B56" s="1697"/>
      <c r="C56" s="367"/>
      <c r="D56" s="358"/>
      <c r="E56" s="368"/>
      <c r="F56" s="360"/>
      <c r="G56" s="361"/>
      <c r="H56" s="362"/>
      <c r="I56" s="363" t="str">
        <f>IFERROR(IF(H56&gt;20.9,9999,IF(OR(G56="",H56=""),"",(20.9/(20.9-H56)*G56))),9999)</f>
        <v/>
      </c>
      <c r="J56" s="364"/>
      <c r="K56" s="365"/>
      <c r="L56" s="366"/>
      <c r="M56" s="361"/>
      <c r="N56" s="362"/>
      <c r="O56" s="363" t="str">
        <f>IFERROR(IF(N56&gt;20.9,9999,IF(OR(M56="",N56=""),"",(20.9/(20.9-N56)*M56))),9999)</f>
        <v/>
      </c>
      <c r="P56" s="364"/>
      <c r="Q56" s="365"/>
      <c r="R56" s="366"/>
    </row>
    <row r="57" spans="1:18">
      <c r="A57" s="1798" t="s">
        <v>823</v>
      </c>
      <c r="B57" s="1799"/>
      <c r="C57" s="1780"/>
      <c r="D57" s="1781"/>
      <c r="E57" s="1781"/>
      <c r="F57" s="1782"/>
      <c r="G57" s="369"/>
      <c r="H57" s="1780"/>
      <c r="I57" s="1781"/>
      <c r="J57" s="1782"/>
      <c r="K57" s="370"/>
      <c r="L57" s="371"/>
      <c r="M57" s="369"/>
      <c r="N57" s="1780"/>
      <c r="O57" s="1781"/>
      <c r="P57" s="1782"/>
      <c r="Q57" s="370"/>
      <c r="R57" s="371"/>
    </row>
    <row r="58" spans="1:18" s="198" customFormat="1" ht="15" customHeight="1">
      <c r="A58" s="1783" t="s">
        <v>824</v>
      </c>
      <c r="B58" s="1784"/>
      <c r="C58" s="1784"/>
      <c r="D58" s="1784"/>
      <c r="E58" s="1784"/>
      <c r="F58" s="1784"/>
      <c r="G58" s="1784"/>
      <c r="H58" s="1784"/>
      <c r="I58" s="1784"/>
      <c r="J58" s="1784"/>
      <c r="K58" s="1784"/>
      <c r="L58" s="1784"/>
      <c r="M58" s="1784"/>
      <c r="N58" s="1784"/>
      <c r="O58" s="1784"/>
      <c r="P58" s="1784"/>
      <c r="Q58" s="1784"/>
      <c r="R58" s="1785"/>
    </row>
    <row r="59" spans="1:18" ht="13.5" customHeight="1">
      <c r="A59" s="1786" t="s">
        <v>825</v>
      </c>
      <c r="B59" s="1787"/>
      <c r="C59" s="1787"/>
      <c r="D59" s="1787"/>
      <c r="E59" s="1787"/>
      <c r="F59" s="1787"/>
      <c r="G59" s="1787"/>
      <c r="H59" s="1787"/>
      <c r="I59" s="1787"/>
      <c r="J59" s="1787"/>
      <c r="K59" s="1787"/>
      <c r="L59" s="1787"/>
      <c r="M59" s="1787"/>
      <c r="N59" s="1787"/>
      <c r="O59" s="1787"/>
      <c r="P59" s="1787"/>
      <c r="Q59" s="1787"/>
      <c r="R59" s="1788"/>
    </row>
    <row r="60" spans="1:18" ht="17.25" customHeight="1">
      <c r="A60" s="1789"/>
      <c r="B60" s="1790"/>
      <c r="C60" s="1790"/>
      <c r="D60" s="1790"/>
      <c r="E60" s="1790"/>
      <c r="F60" s="1790"/>
      <c r="G60" s="1790"/>
      <c r="H60" s="1790"/>
      <c r="I60" s="1790"/>
      <c r="J60" s="1790"/>
      <c r="K60" s="1790"/>
      <c r="L60" s="1790"/>
      <c r="M60" s="1790"/>
      <c r="N60" s="1790"/>
      <c r="O60" s="1790"/>
      <c r="P60" s="1790"/>
      <c r="Q60" s="1790"/>
      <c r="R60" s="1791"/>
    </row>
    <row r="61" spans="1:18" ht="17.25" customHeight="1">
      <c r="A61" s="1789"/>
      <c r="B61" s="1790"/>
      <c r="C61" s="1790"/>
      <c r="D61" s="1790"/>
      <c r="E61" s="1790"/>
      <c r="F61" s="1790"/>
      <c r="G61" s="1790"/>
      <c r="H61" s="1790"/>
      <c r="I61" s="1790"/>
      <c r="J61" s="1790"/>
      <c r="K61" s="1790"/>
      <c r="L61" s="1790"/>
      <c r="M61" s="1790"/>
      <c r="N61" s="1790"/>
      <c r="O61" s="1790"/>
      <c r="P61" s="1790"/>
      <c r="Q61" s="1790"/>
      <c r="R61" s="1791"/>
    </row>
    <row r="62" spans="1:18" ht="17.25" customHeight="1">
      <c r="A62" s="1792"/>
      <c r="B62" s="1793"/>
      <c r="C62" s="1793"/>
      <c r="D62" s="1793"/>
      <c r="E62" s="1793"/>
      <c r="F62" s="1793"/>
      <c r="G62" s="1793"/>
      <c r="H62" s="1793"/>
      <c r="I62" s="1793"/>
      <c r="J62" s="1793"/>
      <c r="K62" s="1793"/>
      <c r="L62" s="1793"/>
      <c r="M62" s="1793"/>
      <c r="N62" s="1793"/>
      <c r="O62" s="1793"/>
      <c r="P62" s="1793"/>
      <c r="Q62" s="1793"/>
      <c r="R62" s="1794"/>
    </row>
    <row r="63" spans="1:18" ht="15" customHeight="1">
      <c r="A63" s="1770" t="s">
        <v>826</v>
      </c>
      <c r="B63" s="1771"/>
      <c r="C63" s="1771"/>
      <c r="D63" s="1771"/>
      <c r="E63" s="1771"/>
      <c r="F63" s="1771"/>
      <c r="G63" s="1771"/>
      <c r="H63" s="1771"/>
      <c r="I63" s="1771"/>
      <c r="J63" s="1771"/>
      <c r="K63" s="1771"/>
      <c r="L63" s="1771"/>
      <c r="M63" s="1771"/>
      <c r="N63" s="1771"/>
      <c r="O63" s="1771"/>
      <c r="P63" s="1771"/>
      <c r="Q63" s="1771"/>
      <c r="R63" s="1795"/>
    </row>
    <row r="64" spans="1:18" ht="13.5" customHeight="1">
      <c r="A64" s="1695" t="s">
        <v>827</v>
      </c>
      <c r="B64" s="1696"/>
      <c r="C64" s="1696"/>
      <c r="D64" s="1696"/>
      <c r="E64" s="1696"/>
      <c r="F64" s="1696"/>
      <c r="G64" s="1696"/>
      <c r="H64" s="1696"/>
      <c r="I64" s="1696"/>
      <c r="J64" s="1696"/>
      <c r="K64" s="1696"/>
      <c r="L64" s="1696"/>
      <c r="M64" s="1696"/>
      <c r="N64" s="1696"/>
      <c r="O64" s="1696"/>
      <c r="P64" s="1696"/>
      <c r="Q64" s="1696"/>
      <c r="R64" s="1697"/>
    </row>
    <row r="65" spans="1:18" ht="13.5" customHeight="1">
      <c r="A65" s="1695" t="s">
        <v>828</v>
      </c>
      <c r="B65" s="1696"/>
      <c r="C65" s="1696"/>
      <c r="D65" s="1696"/>
      <c r="E65" s="1696"/>
      <c r="F65" s="1696"/>
      <c r="G65" s="1696"/>
      <c r="H65" s="1696"/>
      <c r="I65" s="1696"/>
      <c r="J65" s="1696"/>
      <c r="K65" s="1696"/>
      <c r="L65" s="1696"/>
      <c r="M65" s="1696"/>
      <c r="N65" s="1696"/>
      <c r="O65" s="1696"/>
      <c r="P65" s="1696"/>
      <c r="Q65" s="1696"/>
      <c r="R65" s="1697"/>
    </row>
    <row r="66" spans="1:18" ht="19.5" customHeight="1">
      <c r="A66" s="1679" t="s">
        <v>829</v>
      </c>
      <c r="B66" s="1262"/>
      <c r="C66" s="1262"/>
      <c r="D66" s="1262"/>
      <c r="E66" s="1262"/>
      <c r="F66" s="1262"/>
      <c r="G66" s="1262"/>
      <c r="H66" s="1262"/>
      <c r="I66" s="1262"/>
      <c r="J66" s="1262"/>
      <c r="K66" s="1262"/>
      <c r="L66" s="1262"/>
      <c r="M66" s="1262"/>
      <c r="N66" s="1262"/>
      <c r="O66" s="1262"/>
      <c r="P66" s="1262"/>
      <c r="Q66" s="1262"/>
      <c r="R66" s="1765"/>
    </row>
    <row r="67" spans="1:18" ht="13.5" customHeight="1">
      <c r="A67" s="1577" t="s">
        <v>830</v>
      </c>
      <c r="B67" s="1435"/>
      <c r="C67" s="1435"/>
      <c r="D67" s="1435"/>
      <c r="E67" s="1435"/>
      <c r="F67" s="1435"/>
      <c r="G67" s="1435"/>
      <c r="H67" s="1435"/>
      <c r="I67" s="1435"/>
      <c r="J67" s="1435"/>
      <c r="K67" s="1435"/>
      <c r="L67" s="1435"/>
      <c r="M67" s="1435"/>
      <c r="N67" s="1435"/>
      <c r="O67" s="1435"/>
      <c r="P67" s="1435"/>
      <c r="Q67" s="1435"/>
      <c r="R67" s="1766"/>
    </row>
    <row r="68" spans="1:18" ht="13.5" customHeight="1">
      <c r="A68" s="1767" t="s">
        <v>831</v>
      </c>
      <c r="B68" s="1768"/>
      <c r="C68" s="1768"/>
      <c r="D68" s="1768"/>
      <c r="E68" s="1768"/>
      <c r="F68" s="1768"/>
      <c r="G68" s="1768"/>
      <c r="H68" s="1768"/>
      <c r="I68" s="1768"/>
      <c r="J68" s="1768"/>
      <c r="K68" s="1768"/>
      <c r="L68" s="1768"/>
      <c r="M68" s="1768"/>
      <c r="N68" s="1768"/>
      <c r="O68" s="1768"/>
      <c r="P68" s="1768"/>
      <c r="Q68" s="1768"/>
      <c r="R68" s="1769"/>
    </row>
    <row r="69" spans="1:18" ht="15" customHeight="1">
      <c r="A69" s="1770" t="s">
        <v>832</v>
      </c>
      <c r="B69" s="1771"/>
      <c r="C69" s="1771"/>
      <c r="D69" s="1771"/>
      <c r="E69" s="1771"/>
      <c r="F69" s="1771"/>
      <c r="G69" s="1771"/>
      <c r="H69" s="1771"/>
      <c r="I69" s="1771"/>
      <c r="J69" s="1771"/>
      <c r="K69" s="1771"/>
      <c r="L69" s="1772" t="s">
        <v>833</v>
      </c>
      <c r="M69" s="1773"/>
      <c r="N69" s="1773"/>
      <c r="O69" s="1774"/>
      <c r="P69" s="1775" t="s">
        <v>834</v>
      </c>
      <c r="Q69" s="1583"/>
      <c r="R69" s="1584"/>
    </row>
    <row r="70" spans="1:18" ht="14.1" customHeight="1">
      <c r="A70" s="1777" t="s">
        <v>835</v>
      </c>
      <c r="B70" s="1778"/>
      <c r="C70" s="1778"/>
      <c r="D70" s="1778"/>
      <c r="E70" s="1778"/>
      <c r="F70" s="1778"/>
      <c r="G70" s="1778"/>
      <c r="H70" s="1779" t="s">
        <v>836</v>
      </c>
      <c r="I70" s="1779"/>
      <c r="J70" s="1779"/>
      <c r="K70" s="1779"/>
      <c r="L70" s="1760" t="s">
        <v>837</v>
      </c>
      <c r="M70" s="1526"/>
      <c r="N70" s="1526"/>
      <c r="O70" s="1761"/>
      <c r="P70" s="1776"/>
      <c r="Q70" s="1529"/>
      <c r="R70" s="1585"/>
    </row>
    <row r="71" spans="1:18" ht="14.1" customHeight="1">
      <c r="A71" s="1678" t="s">
        <v>838</v>
      </c>
      <c r="B71" s="1519"/>
      <c r="C71" s="1519"/>
      <c r="D71" s="1519"/>
      <c r="E71" s="1519"/>
      <c r="F71" s="1519"/>
      <c r="G71" s="1519"/>
      <c r="H71" s="1696" t="s">
        <v>839</v>
      </c>
      <c r="I71" s="1696"/>
      <c r="J71" s="1696"/>
      <c r="K71" s="1696"/>
      <c r="L71" s="372">
        <v>0.44</v>
      </c>
      <c r="M71" s="1742" t="s">
        <v>840</v>
      </c>
      <c r="N71" s="1742"/>
      <c r="O71" s="1743"/>
      <c r="P71" s="1762" t="s">
        <v>841</v>
      </c>
      <c r="Q71" s="1763"/>
      <c r="R71" s="1764" t="s">
        <v>842</v>
      </c>
    </row>
    <row r="72" spans="1:18" ht="14.1" customHeight="1">
      <c r="A72" s="1678" t="s">
        <v>72</v>
      </c>
      <c r="B72" s="1519"/>
      <c r="C72" s="1519"/>
      <c r="D72" s="1519"/>
      <c r="E72" s="1519"/>
      <c r="F72" s="1519"/>
      <c r="G72" s="1519"/>
      <c r="H72" s="1696" t="s">
        <v>839</v>
      </c>
      <c r="I72" s="1696"/>
      <c r="J72" s="1696"/>
      <c r="K72" s="1696"/>
      <c r="L72" s="372">
        <v>0.47</v>
      </c>
      <c r="M72" s="1742" t="s">
        <v>843</v>
      </c>
      <c r="N72" s="1742"/>
      <c r="O72" s="1743"/>
      <c r="P72" s="1762"/>
      <c r="Q72" s="1763"/>
      <c r="R72" s="1764"/>
    </row>
    <row r="73" spans="1:18" ht="14.1" customHeight="1">
      <c r="A73" s="1678" t="s">
        <v>844</v>
      </c>
      <c r="B73" s="1519"/>
      <c r="C73" s="1519"/>
      <c r="D73" s="1519"/>
      <c r="E73" s="1519"/>
      <c r="F73" s="1519"/>
      <c r="G73" s="1519"/>
      <c r="H73" s="1696" t="s">
        <v>839</v>
      </c>
      <c r="I73" s="1696"/>
      <c r="J73" s="1696"/>
      <c r="K73" s="1696"/>
      <c r="L73" s="372">
        <v>0.48</v>
      </c>
      <c r="M73" s="1742" t="s">
        <v>845</v>
      </c>
      <c r="N73" s="1742"/>
      <c r="O73" s="1743"/>
      <c r="P73" s="1748">
        <v>1</v>
      </c>
      <c r="Q73" s="1742"/>
      <c r="R73" s="373">
        <v>1</v>
      </c>
    </row>
    <row r="74" spans="1:18" ht="14.1" customHeight="1">
      <c r="A74" s="1678" t="s">
        <v>846</v>
      </c>
      <c r="B74" s="1519"/>
      <c r="C74" s="1519"/>
      <c r="D74" s="1519"/>
      <c r="E74" s="1519"/>
      <c r="F74" s="1519"/>
      <c r="G74" s="1519"/>
      <c r="H74" s="1696" t="s">
        <v>839</v>
      </c>
      <c r="I74" s="1696"/>
      <c r="J74" s="1696"/>
      <c r="K74" s="1696"/>
      <c r="L74" s="372">
        <v>0.51</v>
      </c>
      <c r="M74" s="1742" t="s">
        <v>847</v>
      </c>
      <c r="N74" s="1742"/>
      <c r="O74" s="1743"/>
      <c r="P74" s="1748">
        <v>1.5</v>
      </c>
      <c r="Q74" s="1742"/>
      <c r="R74" s="373">
        <v>1.18</v>
      </c>
    </row>
    <row r="75" spans="1:18" ht="14.1" customHeight="1">
      <c r="A75" s="1678" t="s">
        <v>848</v>
      </c>
      <c r="B75" s="1519"/>
      <c r="C75" s="1519"/>
      <c r="D75" s="1519"/>
      <c r="E75" s="1519"/>
      <c r="F75" s="1519"/>
      <c r="G75" s="1519"/>
      <c r="H75" s="1696" t="s">
        <v>849</v>
      </c>
      <c r="I75" s="1696"/>
      <c r="J75" s="1696"/>
      <c r="K75" s="1696"/>
      <c r="L75" s="372">
        <v>0.51</v>
      </c>
      <c r="M75" s="1742" t="s">
        <v>850</v>
      </c>
      <c r="N75" s="1742"/>
      <c r="O75" s="1743"/>
      <c r="P75" s="1748">
        <v>2</v>
      </c>
      <c r="Q75" s="1742"/>
      <c r="R75" s="373">
        <v>1.32</v>
      </c>
    </row>
    <row r="76" spans="1:18" ht="14.1" customHeight="1">
      <c r="A76" s="1678" t="s">
        <v>851</v>
      </c>
      <c r="B76" s="1519"/>
      <c r="C76" s="1519"/>
      <c r="D76" s="1519"/>
      <c r="E76" s="1519"/>
      <c r="F76" s="1519"/>
      <c r="G76" s="1519"/>
      <c r="H76" s="1696" t="s">
        <v>839</v>
      </c>
      <c r="I76" s="1696"/>
      <c r="J76" s="1696"/>
      <c r="K76" s="1696"/>
      <c r="L76" s="372">
        <v>0.55000000000000004</v>
      </c>
      <c r="M76" s="1742" t="s">
        <v>852</v>
      </c>
      <c r="N76" s="1742"/>
      <c r="O76" s="1743"/>
      <c r="P76" s="1748">
        <v>2.5</v>
      </c>
      <c r="Q76" s="1742"/>
      <c r="R76" s="373">
        <v>1.44</v>
      </c>
    </row>
    <row r="77" spans="1:18" ht="14.1" customHeight="1">
      <c r="A77" s="1678" t="s">
        <v>853</v>
      </c>
      <c r="B77" s="1519"/>
      <c r="C77" s="1519"/>
      <c r="D77" s="1519"/>
      <c r="E77" s="1519"/>
      <c r="F77" s="1519"/>
      <c r="G77" s="1519"/>
      <c r="H77" s="1696" t="s">
        <v>849</v>
      </c>
      <c r="I77" s="1696"/>
      <c r="J77" s="1696"/>
      <c r="K77" s="1696"/>
      <c r="L77" s="372">
        <v>0.56000000000000005</v>
      </c>
      <c r="M77" s="1742" t="s">
        <v>854</v>
      </c>
      <c r="N77" s="1742"/>
      <c r="O77" s="1743"/>
      <c r="P77" s="1749">
        <v>3</v>
      </c>
      <c r="Q77" s="1750"/>
      <c r="R77" s="374">
        <v>1.55</v>
      </c>
    </row>
    <row r="78" spans="1:18" ht="14.1" customHeight="1">
      <c r="A78" s="1678" t="s">
        <v>855</v>
      </c>
      <c r="B78" s="1519"/>
      <c r="C78" s="1519"/>
      <c r="D78" s="1519"/>
      <c r="E78" s="1519"/>
      <c r="F78" s="1519"/>
      <c r="G78" s="1519"/>
      <c r="H78" s="1696" t="s">
        <v>849</v>
      </c>
      <c r="I78" s="1696"/>
      <c r="J78" s="1696"/>
      <c r="K78" s="1696"/>
      <c r="L78" s="372">
        <v>0.56000000000000005</v>
      </c>
      <c r="M78" s="1742" t="s">
        <v>856</v>
      </c>
      <c r="N78" s="1742"/>
      <c r="O78" s="1743"/>
      <c r="P78" s="1752"/>
      <c r="Q78" s="1753"/>
      <c r="R78" s="1754"/>
    </row>
    <row r="79" spans="1:18" ht="14.1" customHeight="1">
      <c r="A79" s="1678" t="s">
        <v>857</v>
      </c>
      <c r="B79" s="1519"/>
      <c r="C79" s="1519"/>
      <c r="D79" s="1519"/>
      <c r="E79" s="1519"/>
      <c r="F79" s="1519"/>
      <c r="G79" s="1519"/>
      <c r="H79" s="1696" t="s">
        <v>849</v>
      </c>
      <c r="I79" s="1696"/>
      <c r="J79" s="1696"/>
      <c r="K79" s="1696"/>
      <c r="L79" s="372">
        <v>0.56999999999999995</v>
      </c>
      <c r="M79" s="1742" t="s">
        <v>858</v>
      </c>
      <c r="N79" s="1742"/>
      <c r="O79" s="1743"/>
      <c r="P79" s="1755"/>
      <c r="Q79" s="1626"/>
      <c r="R79" s="1756"/>
    </row>
    <row r="80" spans="1:18" ht="14.1" customHeight="1">
      <c r="A80" s="1678" t="s">
        <v>859</v>
      </c>
      <c r="B80" s="1519"/>
      <c r="C80" s="1519"/>
      <c r="D80" s="1519"/>
      <c r="E80" s="1519"/>
      <c r="F80" s="1519"/>
      <c r="G80" s="1519"/>
      <c r="H80" s="1696" t="s">
        <v>860</v>
      </c>
      <c r="I80" s="1696"/>
      <c r="J80" s="1696"/>
      <c r="K80" s="1696"/>
      <c r="L80" s="372">
        <v>0.56999999999999995</v>
      </c>
      <c r="M80" s="1742" t="s">
        <v>861</v>
      </c>
      <c r="N80" s="1742"/>
      <c r="O80" s="1743"/>
      <c r="P80" s="1755"/>
      <c r="Q80" s="1626"/>
      <c r="R80" s="1756"/>
    </row>
    <row r="81" spans="1:18" ht="14.1" customHeight="1">
      <c r="A81" s="1678" t="s">
        <v>862</v>
      </c>
      <c r="B81" s="1519"/>
      <c r="C81" s="1519"/>
      <c r="D81" s="1519"/>
      <c r="E81" s="1519"/>
      <c r="F81" s="1519"/>
      <c r="G81" s="1519"/>
      <c r="H81" s="1696" t="s">
        <v>839</v>
      </c>
      <c r="I81" s="1696"/>
      <c r="J81" s="1696"/>
      <c r="K81" s="1696"/>
      <c r="L81" s="372">
        <v>0.56999999999999995</v>
      </c>
      <c r="M81" s="1742" t="s">
        <v>863</v>
      </c>
      <c r="N81" s="1742"/>
      <c r="O81" s="1743"/>
      <c r="P81" s="1755"/>
      <c r="Q81" s="1626"/>
      <c r="R81" s="1756"/>
    </row>
    <row r="82" spans="1:18" ht="14.1" customHeight="1">
      <c r="A82" s="1678" t="s">
        <v>864</v>
      </c>
      <c r="B82" s="1519"/>
      <c r="C82" s="1519"/>
      <c r="D82" s="1519"/>
      <c r="E82" s="1519"/>
      <c r="F82" s="1519"/>
      <c r="G82" s="1519"/>
      <c r="H82" s="1696" t="s">
        <v>865</v>
      </c>
      <c r="I82" s="1696"/>
      <c r="J82" s="1696"/>
      <c r="K82" s="1696"/>
      <c r="L82" s="372">
        <v>0.57999999999999996</v>
      </c>
      <c r="M82" s="1742" t="s">
        <v>866</v>
      </c>
      <c r="N82" s="1742"/>
      <c r="O82" s="1743"/>
      <c r="P82" s="1755"/>
      <c r="Q82" s="1626"/>
      <c r="R82" s="1756"/>
    </row>
    <row r="83" spans="1:18" ht="14.1" customHeight="1">
      <c r="A83" s="1678" t="s">
        <v>867</v>
      </c>
      <c r="B83" s="1519"/>
      <c r="C83" s="1519"/>
      <c r="D83" s="1519"/>
      <c r="E83" s="1519"/>
      <c r="F83" s="1519"/>
      <c r="G83" s="1519"/>
      <c r="H83" s="1696" t="s">
        <v>868</v>
      </c>
      <c r="I83" s="1696"/>
      <c r="J83" s="1696"/>
      <c r="K83" s="1696"/>
      <c r="L83" s="372">
        <v>0.57999999999999996</v>
      </c>
      <c r="M83" s="1742" t="s">
        <v>869</v>
      </c>
      <c r="N83" s="1742"/>
      <c r="O83" s="1743"/>
      <c r="P83" s="1755"/>
      <c r="Q83" s="1626"/>
      <c r="R83" s="1756"/>
    </row>
    <row r="84" spans="1:18" ht="14.1" customHeight="1">
      <c r="A84" s="1744" t="s">
        <v>870</v>
      </c>
      <c r="B84" s="1682"/>
      <c r="C84" s="1682"/>
      <c r="D84" s="1682"/>
      <c r="E84" s="1682"/>
      <c r="F84" s="1682"/>
      <c r="G84" s="1682"/>
      <c r="H84" s="1745" t="s">
        <v>871</v>
      </c>
      <c r="I84" s="1745"/>
      <c r="J84" s="1745"/>
      <c r="K84" s="1745"/>
      <c r="L84" s="372">
        <v>0.57999999999999996</v>
      </c>
      <c r="M84" s="1742" t="s">
        <v>872</v>
      </c>
      <c r="N84" s="1742"/>
      <c r="O84" s="1743"/>
      <c r="P84" s="1755"/>
      <c r="Q84" s="1626"/>
      <c r="R84" s="1756"/>
    </row>
    <row r="85" spans="1:18" ht="14.1" customHeight="1">
      <c r="A85" s="1746"/>
      <c r="B85" s="1710"/>
      <c r="C85" s="1710"/>
      <c r="D85" s="1710"/>
      <c r="E85" s="1710"/>
      <c r="F85" s="1710"/>
      <c r="G85" s="1710"/>
      <c r="H85" s="1710"/>
      <c r="I85" s="1710"/>
      <c r="J85" s="1710"/>
      <c r="K85" s="1747"/>
      <c r="L85" s="372">
        <v>0.59</v>
      </c>
      <c r="M85" s="1742" t="s">
        <v>873</v>
      </c>
      <c r="N85" s="1742"/>
      <c r="O85" s="1743"/>
      <c r="P85" s="1755"/>
      <c r="Q85" s="1626"/>
      <c r="R85" s="1756"/>
    </row>
    <row r="86" spans="1:18" ht="14.1" customHeight="1">
      <c r="A86" s="1748"/>
      <c r="B86" s="1742"/>
      <c r="C86" s="1742"/>
      <c r="D86" s="1742"/>
      <c r="E86" s="1742"/>
      <c r="F86" s="1742"/>
      <c r="G86" s="1742"/>
      <c r="H86" s="1742"/>
      <c r="I86" s="1742"/>
      <c r="J86" s="1742"/>
      <c r="K86" s="1743"/>
      <c r="L86" s="372">
        <v>0.6</v>
      </c>
      <c r="M86" s="1742" t="s">
        <v>874</v>
      </c>
      <c r="N86" s="1742"/>
      <c r="O86" s="1743"/>
      <c r="P86" s="1755"/>
      <c r="Q86" s="1626"/>
      <c r="R86" s="1756"/>
    </row>
    <row r="87" spans="1:18" ht="14.1" customHeight="1">
      <c r="A87" s="1749"/>
      <c r="B87" s="1750"/>
      <c r="C87" s="1750"/>
      <c r="D87" s="1750"/>
      <c r="E87" s="1750"/>
      <c r="F87" s="1750"/>
      <c r="G87" s="1750"/>
      <c r="H87" s="1750"/>
      <c r="I87" s="1750"/>
      <c r="J87" s="1750"/>
      <c r="K87" s="1751"/>
      <c r="L87" s="375">
        <v>0.6</v>
      </c>
      <c r="M87" s="1750" t="s">
        <v>875</v>
      </c>
      <c r="N87" s="1750"/>
      <c r="O87" s="1751"/>
      <c r="P87" s="1757"/>
      <c r="Q87" s="1758"/>
      <c r="R87" s="1759"/>
    </row>
    <row r="88" spans="1:18" ht="14.1" customHeight="1">
      <c r="A88" s="1728"/>
      <c r="B88" s="1729"/>
      <c r="C88" s="1729"/>
      <c r="D88" s="1729"/>
      <c r="E88" s="1729"/>
      <c r="F88" s="1729"/>
      <c r="G88" s="1729"/>
      <c r="H88" s="1729"/>
      <c r="I88" s="1729"/>
      <c r="J88" s="1729"/>
      <c r="K88" s="1729"/>
      <c r="L88" s="1729"/>
      <c r="M88" s="1729"/>
      <c r="N88" s="1729"/>
      <c r="O88" s="1729"/>
      <c r="P88" s="1729"/>
      <c r="Q88" s="1729"/>
      <c r="R88" s="1730"/>
    </row>
    <row r="89" spans="1:18" ht="15.75" customHeight="1" thickBot="1">
      <c r="A89" s="1731"/>
      <c r="B89" s="1732"/>
      <c r="C89" s="1732"/>
      <c r="D89" s="1732"/>
      <c r="E89" s="1732"/>
      <c r="F89" s="1732"/>
      <c r="G89" s="1732"/>
      <c r="H89" s="1732"/>
      <c r="I89" s="1732"/>
      <c r="J89" s="1732"/>
      <c r="K89" s="1732"/>
      <c r="L89" s="1732"/>
      <c r="M89" s="1732"/>
      <c r="N89" s="1732"/>
      <c r="O89" s="1732"/>
      <c r="P89" s="1732"/>
      <c r="Q89" s="1732"/>
      <c r="R89" s="1733"/>
    </row>
    <row r="90" spans="1:18" ht="15.75" customHeight="1">
      <c r="A90" s="1734" t="s">
        <v>799</v>
      </c>
      <c r="B90" s="1735"/>
      <c r="C90" s="1735"/>
      <c r="D90" s="1735"/>
      <c r="E90" s="1735"/>
      <c r="F90" s="1735"/>
      <c r="G90" s="1735"/>
      <c r="H90" s="1735"/>
      <c r="I90" s="1735"/>
      <c r="J90" s="1735"/>
      <c r="K90" s="1735"/>
      <c r="L90" s="1735"/>
      <c r="M90" s="1735"/>
      <c r="N90" s="1735"/>
      <c r="O90" s="1735"/>
      <c r="P90" s="1735"/>
      <c r="Q90" s="1735"/>
      <c r="R90" s="1736"/>
    </row>
    <row r="91" spans="1:18" ht="15.75" customHeight="1">
      <c r="A91" s="1657" t="s">
        <v>800</v>
      </c>
      <c r="B91" s="1658"/>
      <c r="C91" s="1658"/>
      <c r="D91" s="1658"/>
      <c r="E91" s="1658"/>
      <c r="F91" s="1658"/>
      <c r="G91" s="1658"/>
      <c r="H91" s="1658"/>
      <c r="I91" s="1658"/>
      <c r="J91" s="1658"/>
      <c r="K91" s="1658"/>
      <c r="L91" s="1658"/>
      <c r="M91" s="1658"/>
      <c r="N91" s="1658"/>
      <c r="O91" s="1658"/>
      <c r="P91" s="1658"/>
      <c r="Q91" s="1737" t="s">
        <v>801</v>
      </c>
      <c r="R91" s="1738"/>
    </row>
    <row r="92" spans="1:18" s="196" customFormat="1" ht="22.5" customHeight="1">
      <c r="A92" s="1739" t="str">
        <f>A1</f>
        <v>Ameren Illinois Energy Efficiency Program</v>
      </c>
      <c r="B92" s="1740"/>
      <c r="C92" s="1740"/>
      <c r="D92" s="1740"/>
      <c r="E92" s="1740"/>
      <c r="F92" s="1740"/>
      <c r="G92" s="1740"/>
      <c r="H92" s="1740"/>
      <c r="I92" s="1740"/>
      <c r="J92" s="1740"/>
      <c r="K92" s="1740"/>
      <c r="L92" s="1740"/>
      <c r="M92" s="1740"/>
      <c r="N92" s="1740"/>
      <c r="O92" s="1740"/>
      <c r="P92" s="1740"/>
      <c r="Q92" s="1740"/>
      <c r="R92" s="1741"/>
    </row>
    <row r="93" spans="1:18" s="197" customFormat="1" ht="19.5" customHeight="1">
      <c r="A93" s="1723" t="str">
        <f>A2</f>
        <v>Energy Audit Diagnostic Test Form</v>
      </c>
      <c r="B93" s="1724"/>
      <c r="C93" s="1724"/>
      <c r="D93" s="1724"/>
      <c r="E93" s="1724"/>
      <c r="F93" s="1724"/>
      <c r="G93" s="1724"/>
      <c r="H93" s="1724"/>
      <c r="I93" s="1724"/>
      <c r="J93" s="1724"/>
      <c r="K93" s="1724"/>
      <c r="L93" s="1724"/>
      <c r="M93" s="1724"/>
      <c r="N93" s="1724"/>
      <c r="O93" s="1724"/>
      <c r="P93" s="1724"/>
      <c r="Q93" s="1724"/>
      <c r="R93" s="1725"/>
    </row>
    <row r="94" spans="1:18" ht="15" customHeight="1">
      <c r="A94" s="1686" t="s">
        <v>428</v>
      </c>
      <c r="B94" s="1687"/>
      <c r="C94" s="1726" t="str">
        <f>IF(ISBLANK(C7),"",C7)</f>
        <v/>
      </c>
      <c r="D94" s="1726"/>
      <c r="E94" s="1726"/>
      <c r="F94" s="1726"/>
      <c r="G94" s="1687" t="s">
        <v>648</v>
      </c>
      <c r="H94" s="1687"/>
      <c r="I94" s="1687"/>
      <c r="J94" s="1726" t="str">
        <f>C6</f>
        <v/>
      </c>
      <c r="K94" s="1726"/>
      <c r="L94" s="1726"/>
      <c r="M94" s="1726"/>
      <c r="N94" s="1726"/>
      <c r="O94" s="1726"/>
      <c r="P94" s="1726"/>
      <c r="Q94" s="1726"/>
      <c r="R94" s="1727"/>
    </row>
    <row r="95" spans="1:18" s="198" customFormat="1" ht="14.25" customHeight="1">
      <c r="A95" s="1713" t="s">
        <v>876</v>
      </c>
      <c r="B95" s="1714"/>
      <c r="C95" s="1714"/>
      <c r="D95" s="1714"/>
      <c r="E95" s="1714"/>
      <c r="F95" s="1714"/>
      <c r="G95" s="1714"/>
      <c r="H95" s="1714"/>
      <c r="I95" s="1714"/>
      <c r="J95" s="1714"/>
      <c r="K95" s="1714"/>
      <c r="L95" s="1714"/>
      <c r="M95" s="1714"/>
      <c r="N95" s="1714"/>
      <c r="O95" s="1714"/>
      <c r="P95" s="1714"/>
      <c r="Q95" s="1714"/>
      <c r="R95" s="1715"/>
    </row>
    <row r="96" spans="1:18" ht="14.25" customHeight="1">
      <c r="A96" s="1678" t="s">
        <v>877</v>
      </c>
      <c r="B96" s="1519"/>
      <c r="C96" s="1519"/>
      <c r="D96" s="1519"/>
      <c r="E96" s="1519"/>
      <c r="F96" s="1719">
        <f>'Work Scope'!$G$11</f>
        <v>0</v>
      </c>
      <c r="G96" s="1719"/>
      <c r="H96" s="376" t="s">
        <v>878</v>
      </c>
      <c r="I96" s="377"/>
      <c r="J96" s="1519" t="s">
        <v>879</v>
      </c>
      <c r="K96" s="1519"/>
      <c r="L96" s="1519"/>
      <c r="M96" s="1519"/>
      <c r="N96" s="1519"/>
      <c r="O96" s="1719">
        <f>'Work Scope'!$M$11</f>
        <v>0</v>
      </c>
      <c r="P96" s="1719"/>
      <c r="Q96" s="376" t="s">
        <v>878</v>
      </c>
      <c r="R96" s="378"/>
    </row>
    <row r="97" spans="1:18" s="198" customFormat="1" ht="14.25" customHeight="1">
      <c r="A97" s="1713" t="s">
        <v>880</v>
      </c>
      <c r="B97" s="1714"/>
      <c r="C97" s="1714"/>
      <c r="D97" s="1714"/>
      <c r="E97" s="1714"/>
      <c r="F97" s="1714"/>
      <c r="G97" s="1714"/>
      <c r="H97" s="1714"/>
      <c r="I97" s="1714"/>
      <c r="J97" s="1714"/>
      <c r="K97" s="1714"/>
      <c r="L97" s="1714"/>
      <c r="M97" s="1714"/>
      <c r="N97" s="1714"/>
      <c r="O97" s="1714"/>
      <c r="P97" s="1714"/>
      <c r="Q97" s="1714"/>
      <c r="R97" s="1715"/>
    </row>
    <row r="98" spans="1:18" ht="18.75" customHeight="1">
      <c r="A98" s="1720" t="s">
        <v>881</v>
      </c>
      <c r="B98" s="1721"/>
      <c r="C98" s="1721"/>
      <c r="D98" s="1721"/>
      <c r="E98" s="1721"/>
      <c r="F98" s="1721"/>
      <c r="G98" s="1721"/>
      <c r="H98" s="1721"/>
      <c r="I98" s="1721"/>
      <c r="J98" s="1721"/>
      <c r="K98" s="1721"/>
      <c r="L98" s="1721"/>
      <c r="M98" s="1721"/>
      <c r="N98" s="1721"/>
      <c r="O98" s="1721"/>
      <c r="P98" s="1721"/>
      <c r="Q98" s="1721"/>
      <c r="R98" s="1722"/>
    </row>
    <row r="99" spans="1:18" s="2" customFormat="1" ht="14.25" customHeight="1">
      <c r="A99" s="1674" t="s">
        <v>882</v>
      </c>
      <c r="B99" s="1675"/>
      <c r="C99" s="1675"/>
      <c r="D99" s="1675"/>
      <c r="E99" s="1675"/>
      <c r="F99" s="1675"/>
      <c r="G99" s="1675"/>
      <c r="H99" s="1676"/>
      <c r="I99" s="1676"/>
      <c r="J99" s="1675" t="s">
        <v>883</v>
      </c>
      <c r="K99" s="1675"/>
      <c r="L99" s="1716" t="str">
        <f>IF('Project Information'!AI9="","",'Project Information'!AI9)</f>
        <v/>
      </c>
      <c r="M99" s="1716"/>
      <c r="N99" s="1675" t="s">
        <v>884</v>
      </c>
      <c r="O99" s="1675"/>
      <c r="P99" s="1675"/>
      <c r="Q99" s="1717"/>
      <c r="R99" s="1718"/>
    </row>
    <row r="100" spans="1:18" s="198" customFormat="1" ht="14.25" customHeight="1">
      <c r="A100" s="1713" t="s">
        <v>885</v>
      </c>
      <c r="B100" s="1714"/>
      <c r="C100" s="1714"/>
      <c r="D100" s="1714"/>
      <c r="E100" s="1714"/>
      <c r="F100" s="1714"/>
      <c r="G100" s="1714"/>
      <c r="H100" s="1714"/>
      <c r="I100" s="1714"/>
      <c r="J100" s="1714"/>
      <c r="K100" s="1714"/>
      <c r="L100" s="1714"/>
      <c r="M100" s="1714"/>
      <c r="N100" s="1714"/>
      <c r="O100" s="1714"/>
      <c r="P100" s="1714"/>
      <c r="Q100" s="1714"/>
      <c r="R100" s="1715"/>
    </row>
    <row r="101" spans="1:18" ht="15.75" customHeight="1">
      <c r="A101" s="1707" t="s">
        <v>886</v>
      </c>
      <c r="B101" s="1708"/>
      <c r="C101" s="1708"/>
      <c r="D101" s="1708"/>
      <c r="E101" s="1708"/>
      <c r="F101" s="1708"/>
      <c r="G101" s="1709"/>
      <c r="H101" s="1710" t="s">
        <v>887</v>
      </c>
      <c r="I101" s="1710"/>
      <c r="J101" s="1711" t="s">
        <v>888</v>
      </c>
      <c r="K101" s="1711"/>
      <c r="L101" s="1710" t="s">
        <v>889</v>
      </c>
      <c r="M101" s="1710"/>
      <c r="N101" s="1712" t="s">
        <v>890</v>
      </c>
      <c r="O101" s="1712"/>
      <c r="P101" s="1710" t="s">
        <v>891</v>
      </c>
      <c r="Q101" s="1710"/>
      <c r="R101" s="379"/>
    </row>
    <row r="102" spans="1:18" ht="14.25" customHeight="1">
      <c r="A102" s="1695" t="s">
        <v>892</v>
      </c>
      <c r="B102" s="1696"/>
      <c r="C102" s="1696"/>
      <c r="D102" s="1696"/>
      <c r="E102" s="1696"/>
      <c r="F102" s="1696"/>
      <c r="G102" s="1697"/>
      <c r="H102" s="1698">
        <v>50</v>
      </c>
      <c r="I102" s="1698"/>
      <c r="J102" s="1699"/>
      <c r="K102" s="1699"/>
      <c r="L102" s="1698" t="str">
        <f>IF(J102="","",(IF(J102&gt;H102,0,H102-J102)))</f>
        <v/>
      </c>
      <c r="M102" s="1698"/>
      <c r="N102" s="1700"/>
      <c r="O102" s="1700"/>
      <c r="P102" s="1698" t="str">
        <f>IFERROR(IF(N102="",L102,(IF(N102="Y",IF((L102-20)&gt;0, (L102-20),0),L102))),"")</f>
        <v/>
      </c>
      <c r="Q102" s="1698"/>
      <c r="R102" s="380"/>
    </row>
    <row r="103" spans="1:18" ht="14.25" customHeight="1">
      <c r="A103" s="1695" t="s">
        <v>893</v>
      </c>
      <c r="B103" s="1696"/>
      <c r="C103" s="1696"/>
      <c r="D103" s="1696"/>
      <c r="E103" s="1696"/>
      <c r="F103" s="1696"/>
      <c r="G103" s="1697"/>
      <c r="H103" s="1698">
        <v>50</v>
      </c>
      <c r="I103" s="1698"/>
      <c r="J103" s="1699"/>
      <c r="K103" s="1699"/>
      <c r="L103" s="1698" t="str">
        <f>IF(J103="","",(IF(J103&gt;H103,0,H103-J103)))</f>
        <v/>
      </c>
      <c r="M103" s="1698"/>
      <c r="N103" s="1700"/>
      <c r="O103" s="1700"/>
      <c r="P103" s="1698" t="str">
        <f>IFERROR(IF(N103="",L103,(IF(N103="Y",IF((L103-20)&gt;0, (L103-20),0),L103))),"")</f>
        <v/>
      </c>
      <c r="Q103" s="1698"/>
      <c r="R103" s="380"/>
    </row>
    <row r="104" spans="1:18" ht="14.25" customHeight="1">
      <c r="A104" s="1695" t="s">
        <v>894</v>
      </c>
      <c r="B104" s="1696"/>
      <c r="C104" s="1696"/>
      <c r="D104" s="1696"/>
      <c r="E104" s="1696"/>
      <c r="F104" s="1696"/>
      <c r="G104" s="1697"/>
      <c r="H104" s="1698">
        <v>50</v>
      </c>
      <c r="I104" s="1698"/>
      <c r="J104" s="1699"/>
      <c r="K104" s="1699"/>
      <c r="L104" s="1698" t="str">
        <f>IF(J104="","",(IF(J104&gt;H104,0,H104-J104)))</f>
        <v/>
      </c>
      <c r="M104" s="1698"/>
      <c r="N104" s="1700"/>
      <c r="O104" s="1700"/>
      <c r="P104" s="1698" t="str">
        <f>IFERROR(IF(N104="",L104,(IF(N104="Y",IF((L104-20)&gt;0, (L104-20),0),L104))),"")</f>
        <v/>
      </c>
      <c r="Q104" s="1698"/>
      <c r="R104" s="380"/>
    </row>
    <row r="105" spans="1:18" ht="14.25" customHeight="1">
      <c r="A105" s="1695" t="s">
        <v>895</v>
      </c>
      <c r="B105" s="1696"/>
      <c r="C105" s="1696"/>
      <c r="D105" s="1696"/>
      <c r="E105" s="1696"/>
      <c r="F105" s="1696"/>
      <c r="G105" s="1697"/>
      <c r="H105" s="1698">
        <v>50</v>
      </c>
      <c r="I105" s="1698"/>
      <c r="J105" s="1699"/>
      <c r="K105" s="1699"/>
      <c r="L105" s="1698" t="str">
        <f>IF(J105="","",(IF(J105&gt;H105,0,H105-J105)))</f>
        <v/>
      </c>
      <c r="M105" s="1698"/>
      <c r="N105" s="1700"/>
      <c r="O105" s="1700"/>
      <c r="P105" s="1698" t="str">
        <f>IFERROR(IF(N105="",L105,(IF(N105="Y",IF((L105-20)&gt;0, (L105-20),0),L105))),"")</f>
        <v/>
      </c>
      <c r="Q105" s="1698"/>
      <c r="R105" s="380"/>
    </row>
    <row r="106" spans="1:18" ht="14.25" customHeight="1">
      <c r="A106" s="1695" t="s">
        <v>896</v>
      </c>
      <c r="B106" s="1696"/>
      <c r="C106" s="1696"/>
      <c r="D106" s="1696"/>
      <c r="E106" s="1696"/>
      <c r="F106" s="1696"/>
      <c r="G106" s="1697"/>
      <c r="H106" s="1698">
        <v>0</v>
      </c>
      <c r="I106" s="1698"/>
      <c r="J106" s="1699"/>
      <c r="K106" s="1699"/>
      <c r="L106" s="1701">
        <v>0</v>
      </c>
      <c r="M106" s="1702"/>
      <c r="N106" s="1702" t="s">
        <v>32</v>
      </c>
      <c r="O106" s="1702"/>
      <c r="P106" s="1702">
        <v>0</v>
      </c>
      <c r="Q106" s="1702"/>
      <c r="R106" s="380"/>
    </row>
    <row r="107" spans="1:18" ht="14.25" customHeight="1">
      <c r="A107" s="1695" t="s">
        <v>897</v>
      </c>
      <c r="B107" s="1696"/>
      <c r="C107" s="1696"/>
      <c r="D107" s="1696"/>
      <c r="E107" s="1696"/>
      <c r="F107" s="1696"/>
      <c r="G107" s="1697"/>
      <c r="H107" s="1698">
        <v>100</v>
      </c>
      <c r="I107" s="1698"/>
      <c r="J107" s="1699">
        <v>0</v>
      </c>
      <c r="K107" s="1699"/>
      <c r="L107" s="1698">
        <f>IF(J107="","",(IF(J107&gt;H107,0,H107-J107)))</f>
        <v>100</v>
      </c>
      <c r="M107" s="1698"/>
      <c r="N107" s="1700"/>
      <c r="O107" s="1700"/>
      <c r="P107" s="1698">
        <f>IFERROR(IF(N107="",L107,(IF(N107="Y",IF((L107-20)&gt;0, (L107-20),0),L107))),"")</f>
        <v>100</v>
      </c>
      <c r="Q107" s="1698"/>
      <c r="R107" s="380"/>
    </row>
    <row r="108" spans="1:18" ht="14.25" customHeight="1">
      <c r="A108" s="1695" t="s">
        <v>898</v>
      </c>
      <c r="B108" s="1696"/>
      <c r="C108" s="1696"/>
      <c r="D108" s="1696"/>
      <c r="E108" s="1696"/>
      <c r="F108" s="1696"/>
      <c r="G108" s="1697"/>
      <c r="H108" s="1698">
        <v>100</v>
      </c>
      <c r="I108" s="1698"/>
      <c r="J108" s="1699"/>
      <c r="K108" s="1699"/>
      <c r="L108" s="1698" t="str">
        <f>IF(J108="","",(IF(J108&gt;H108,0,H108-J108)))</f>
        <v/>
      </c>
      <c r="M108" s="1698"/>
      <c r="N108" s="1700"/>
      <c r="O108" s="1700"/>
      <c r="P108" s="1698" t="str">
        <f>IFERROR(IF(N108="",L108,(IF(N108="Y",IF((L108-20)&gt;0, (L108-20),0),L108))),"")</f>
        <v/>
      </c>
      <c r="Q108" s="1698"/>
      <c r="R108" s="380"/>
    </row>
    <row r="109" spans="1:18" ht="17.25" customHeight="1">
      <c r="A109" s="1683" t="s">
        <v>899</v>
      </c>
      <c r="B109" s="1684"/>
      <c r="C109" s="1684"/>
      <c r="D109" s="1684"/>
      <c r="E109" s="1684"/>
      <c r="F109" s="1684"/>
      <c r="G109" s="1684"/>
      <c r="H109" s="1684"/>
      <c r="I109" s="1684"/>
      <c r="J109" s="1684"/>
      <c r="K109" s="1684"/>
      <c r="L109" s="1685"/>
      <c r="M109" s="1686" t="s">
        <v>900</v>
      </c>
      <c r="N109" s="1687"/>
      <c r="O109" s="1687"/>
      <c r="P109" s="1688">
        <f>IF(COUNT(P102:Q105)+COUNT(P107:Q108)=0,"",SUM(P102:Q108))</f>
        <v>100</v>
      </c>
      <c r="Q109" s="1689"/>
      <c r="R109" s="381"/>
    </row>
    <row r="110" spans="1:18" ht="14.25" customHeight="1">
      <c r="A110" s="1690" t="s">
        <v>901</v>
      </c>
      <c r="B110" s="1691"/>
      <c r="C110" s="1691"/>
      <c r="D110" s="1691"/>
      <c r="E110" s="1691"/>
      <c r="F110" s="1691"/>
      <c r="G110" s="1691"/>
      <c r="H110" s="1691"/>
      <c r="I110" s="1692"/>
      <c r="J110" s="1693" t="s">
        <v>902</v>
      </c>
      <c r="K110" s="1693"/>
      <c r="L110" s="1693"/>
      <c r="M110" s="1693"/>
      <c r="N110" s="1693"/>
      <c r="O110" s="382"/>
      <c r="P110" s="1694" t="s">
        <v>903</v>
      </c>
      <c r="Q110" s="1694"/>
      <c r="R110" s="383" t="str">
        <f>IF(L99="","",VLOOKUP(L99,P73:R77,3))</f>
        <v/>
      </c>
    </row>
    <row r="111" spans="1:18" ht="14.25" customHeight="1">
      <c r="A111" s="1678" t="s">
        <v>904</v>
      </c>
      <c r="B111" s="1519"/>
      <c r="C111" s="1519"/>
      <c r="D111" s="1519"/>
      <c r="E111" s="1519"/>
      <c r="F111" s="1519"/>
      <c r="G111" s="1519"/>
      <c r="H111" s="1519"/>
      <c r="I111" s="1519"/>
      <c r="J111" s="1519"/>
      <c r="K111" s="1519"/>
      <c r="L111" s="1519"/>
      <c r="M111" s="1519"/>
      <c r="N111" s="1519"/>
      <c r="O111" s="1519"/>
      <c r="P111" s="1519"/>
      <c r="Q111" s="1519"/>
      <c r="R111" s="384" t="str">
        <f>IF($H$99="","",IF($Q$99="","",(0.03*$H$99+(7.5*($Q$99+1)))))</f>
        <v/>
      </c>
    </row>
    <row r="112" spans="1:18" ht="14.25" customHeight="1">
      <c r="A112" s="1678" t="s">
        <v>905</v>
      </c>
      <c r="B112" s="1519"/>
      <c r="C112" s="1519"/>
      <c r="D112" s="1519"/>
      <c r="E112" s="1519"/>
      <c r="F112" s="1519"/>
      <c r="G112" s="1519"/>
      <c r="H112" s="1519"/>
      <c r="I112" s="1519"/>
      <c r="J112" s="1519"/>
      <c r="K112" s="1519"/>
      <c r="L112" s="1519"/>
      <c r="M112" s="1519"/>
      <c r="N112" s="1519"/>
      <c r="O112" s="1519"/>
      <c r="P112" s="1519"/>
      <c r="Q112" s="1519"/>
      <c r="R112" s="384">
        <f>IF(P109="","",IF(P109&gt;0,P109/4,""))</f>
        <v>25</v>
      </c>
    </row>
    <row r="113" spans="1:18" ht="14.25" customHeight="1">
      <c r="A113" s="1678" t="s">
        <v>906</v>
      </c>
      <c r="B113" s="1519"/>
      <c r="C113" s="1519"/>
      <c r="D113" s="1519"/>
      <c r="E113" s="1519"/>
      <c r="F113" s="1519"/>
      <c r="G113" s="1519"/>
      <c r="H113" s="1519"/>
      <c r="I113" s="1519"/>
      <c r="J113" s="1519"/>
      <c r="K113" s="1519"/>
      <c r="L113" s="1519"/>
      <c r="M113" s="1519"/>
      <c r="N113" s="1519"/>
      <c r="O113" s="1519"/>
      <c r="P113" s="1519"/>
      <c r="Q113" s="1519"/>
      <c r="R113" s="384" t="str">
        <f>IF(R111="","",IF(R112="",R111,R111+R112))</f>
        <v/>
      </c>
    </row>
    <row r="114" spans="1:18" ht="14.25" customHeight="1">
      <c r="A114" s="1679" t="s">
        <v>907</v>
      </c>
      <c r="B114" s="1262"/>
      <c r="C114" s="1262"/>
      <c r="D114" s="1262"/>
      <c r="E114" s="1262"/>
      <c r="F114" s="1262"/>
      <c r="G114" s="1262"/>
      <c r="H114" s="1519" t="s">
        <v>908</v>
      </c>
      <c r="I114" s="1519"/>
      <c r="J114" s="1519"/>
      <c r="K114" s="1519"/>
      <c r="L114" s="1519"/>
      <c r="M114" s="1519"/>
      <c r="N114" s="1519"/>
      <c r="O114" s="1519"/>
      <c r="P114" s="1519"/>
      <c r="Q114" s="1519"/>
      <c r="R114" s="384" t="str">
        <f>IF($F$96="","",IF(R110="","",IF(O110="","",0.052*$F$96*O110*R110)))</f>
        <v/>
      </c>
    </row>
    <row r="115" spans="1:18" ht="14.25" customHeight="1">
      <c r="A115" s="1680"/>
      <c r="B115" s="1681"/>
      <c r="C115" s="1681"/>
      <c r="D115" s="1681"/>
      <c r="E115" s="1681"/>
      <c r="F115" s="1681"/>
      <c r="G115" s="1681"/>
      <c r="H115" s="1682" t="s">
        <v>909</v>
      </c>
      <c r="I115" s="1682"/>
      <c r="J115" s="1682"/>
      <c r="K115" s="1682"/>
      <c r="L115" s="1682"/>
      <c r="M115" s="1682"/>
      <c r="N115" s="1682"/>
      <c r="O115" s="1682"/>
      <c r="P115" s="1682"/>
      <c r="Q115" s="1682"/>
      <c r="R115" s="385" t="str">
        <f>IF(R113="","",IF(R114="","",R113-R114))</f>
        <v/>
      </c>
    </row>
    <row r="116" spans="1:18" ht="14.25" customHeight="1">
      <c r="A116" s="1704" t="s">
        <v>910</v>
      </c>
      <c r="B116" s="1705"/>
      <c r="C116" s="1705"/>
      <c r="D116" s="1705"/>
      <c r="E116" s="1705"/>
      <c r="F116" s="1705"/>
      <c r="G116" s="1705"/>
      <c r="H116" s="1705"/>
      <c r="I116" s="1705"/>
      <c r="J116" s="1705"/>
      <c r="K116" s="1705"/>
      <c r="L116" s="1705"/>
      <c r="M116" s="1705"/>
      <c r="N116" s="1705"/>
      <c r="O116" s="1705"/>
      <c r="P116" s="1705"/>
      <c r="Q116" s="1705"/>
      <c r="R116" s="1706"/>
    </row>
    <row r="117" spans="1:18" ht="15.75" customHeight="1">
      <c r="A117" s="1707" t="s">
        <v>886</v>
      </c>
      <c r="B117" s="1708"/>
      <c r="C117" s="1708"/>
      <c r="D117" s="1708"/>
      <c r="E117" s="1708"/>
      <c r="F117" s="1708"/>
      <c r="G117" s="1709"/>
      <c r="H117" s="1710" t="s">
        <v>887</v>
      </c>
      <c r="I117" s="1710"/>
      <c r="J117" s="1711" t="s">
        <v>888</v>
      </c>
      <c r="K117" s="1711"/>
      <c r="L117" s="1710" t="s">
        <v>889</v>
      </c>
      <c r="M117" s="1710"/>
      <c r="N117" s="1712" t="s">
        <v>890</v>
      </c>
      <c r="O117" s="1712"/>
      <c r="P117" s="1710" t="s">
        <v>891</v>
      </c>
      <c r="Q117" s="1710"/>
      <c r="R117" s="386" t="s">
        <v>911</v>
      </c>
    </row>
    <row r="118" spans="1:18" ht="14.25" customHeight="1">
      <c r="A118" s="1695" t="s">
        <v>892</v>
      </c>
      <c r="B118" s="1696"/>
      <c r="C118" s="1696"/>
      <c r="D118" s="1696"/>
      <c r="E118" s="1696"/>
      <c r="F118" s="1696"/>
      <c r="G118" s="1697"/>
      <c r="H118" s="1698">
        <v>50</v>
      </c>
      <c r="I118" s="1698"/>
      <c r="J118" s="1699"/>
      <c r="K118" s="1699"/>
      <c r="L118" s="1698" t="str">
        <f>IF(J118="","",(IF(J118&gt;H118,0,H118-J118)))</f>
        <v/>
      </c>
      <c r="M118" s="1698"/>
      <c r="N118" s="1700"/>
      <c r="O118" s="1700"/>
      <c r="P118" s="1698" t="str">
        <f>IFERROR(IF(N118="",L118,(IF(N118="Y",IF((L118-20)&gt;0, (L118-20),0),L118))),"")</f>
        <v/>
      </c>
      <c r="Q118" s="1698"/>
      <c r="R118" s="360"/>
    </row>
    <row r="119" spans="1:18" ht="14.25" customHeight="1">
      <c r="A119" s="1695" t="s">
        <v>893</v>
      </c>
      <c r="B119" s="1696"/>
      <c r="C119" s="1696"/>
      <c r="D119" s="1696"/>
      <c r="E119" s="1696"/>
      <c r="F119" s="1696"/>
      <c r="G119" s="1697"/>
      <c r="H119" s="1698">
        <v>50</v>
      </c>
      <c r="I119" s="1698"/>
      <c r="J119" s="1699"/>
      <c r="K119" s="1699"/>
      <c r="L119" s="1698" t="str">
        <f>IF(J119="","",(IF(J119&gt;H119,0,H119-J119)))</f>
        <v/>
      </c>
      <c r="M119" s="1698"/>
      <c r="N119" s="1700"/>
      <c r="O119" s="1700"/>
      <c r="P119" s="1698" t="str">
        <f>IFERROR(IF(N119="",L119,(IF(N119="Y",IF((L119-20)&gt;0, (L119-20),0),L119))),"")</f>
        <v/>
      </c>
      <c r="Q119" s="1698"/>
      <c r="R119" s="360"/>
    </row>
    <row r="120" spans="1:18" ht="14.25" customHeight="1">
      <c r="A120" s="1695" t="s">
        <v>894</v>
      </c>
      <c r="B120" s="1696"/>
      <c r="C120" s="1696"/>
      <c r="D120" s="1696"/>
      <c r="E120" s="1696"/>
      <c r="F120" s="1696"/>
      <c r="G120" s="1697"/>
      <c r="H120" s="1698">
        <v>50</v>
      </c>
      <c r="I120" s="1698"/>
      <c r="J120" s="1699"/>
      <c r="K120" s="1699"/>
      <c r="L120" s="1698" t="str">
        <f>IF(J120="","",(IF(J120&gt;H120,0,H120-J120)))</f>
        <v/>
      </c>
      <c r="M120" s="1698"/>
      <c r="N120" s="1700"/>
      <c r="O120" s="1700"/>
      <c r="P120" s="1698" t="str">
        <f>IFERROR(IF(N120="",L120,(IF(N120="Y",IF((L120-20)&gt;0, (L120-20),0),L120))),"")</f>
        <v/>
      </c>
      <c r="Q120" s="1698"/>
      <c r="R120" s="360"/>
    </row>
    <row r="121" spans="1:18" ht="14.25" customHeight="1">
      <c r="A121" s="1695" t="s">
        <v>895</v>
      </c>
      <c r="B121" s="1696"/>
      <c r="C121" s="1696"/>
      <c r="D121" s="1696"/>
      <c r="E121" s="1696"/>
      <c r="F121" s="1696"/>
      <c r="G121" s="1697"/>
      <c r="H121" s="1698">
        <v>50</v>
      </c>
      <c r="I121" s="1698"/>
      <c r="J121" s="1699"/>
      <c r="K121" s="1699"/>
      <c r="L121" s="1698" t="str">
        <f>IF(J121="","",(IF(J121&gt;H121,0,H121-J121)))</f>
        <v/>
      </c>
      <c r="M121" s="1698"/>
      <c r="N121" s="1700"/>
      <c r="O121" s="1700"/>
      <c r="P121" s="1698" t="str">
        <f>IFERROR(IF(N121="",L121,(IF(N121="Y",IF((L121-20)&gt;0, (L121-20),0),L121))),"")</f>
        <v/>
      </c>
      <c r="Q121" s="1698"/>
      <c r="R121" s="360"/>
    </row>
    <row r="122" spans="1:18" ht="14.25" customHeight="1">
      <c r="A122" s="1695" t="s">
        <v>896</v>
      </c>
      <c r="B122" s="1696"/>
      <c r="C122" s="1696"/>
      <c r="D122" s="1696"/>
      <c r="E122" s="1696"/>
      <c r="F122" s="1696"/>
      <c r="G122" s="1697"/>
      <c r="H122" s="1698">
        <v>0</v>
      </c>
      <c r="I122" s="1698"/>
      <c r="J122" s="1699"/>
      <c r="K122" s="1699"/>
      <c r="L122" s="1701">
        <v>0</v>
      </c>
      <c r="M122" s="1702"/>
      <c r="N122" s="1702" t="s">
        <v>32</v>
      </c>
      <c r="O122" s="1702"/>
      <c r="P122" s="1702">
        <v>0</v>
      </c>
      <c r="Q122" s="1703"/>
      <c r="R122" s="360"/>
    </row>
    <row r="123" spans="1:18" ht="14.25" customHeight="1">
      <c r="A123" s="1695" t="s">
        <v>897</v>
      </c>
      <c r="B123" s="1696"/>
      <c r="C123" s="1696"/>
      <c r="D123" s="1696"/>
      <c r="E123" s="1696"/>
      <c r="F123" s="1696"/>
      <c r="G123" s="1697"/>
      <c r="H123" s="1698">
        <v>100</v>
      </c>
      <c r="I123" s="1698"/>
      <c r="J123" s="1699">
        <v>0</v>
      </c>
      <c r="K123" s="1699"/>
      <c r="L123" s="1698">
        <f>IF(J123="","",(IF(J123&gt;H123,0,H123-J123)))</f>
        <v>100</v>
      </c>
      <c r="M123" s="1698"/>
      <c r="N123" s="1700"/>
      <c r="O123" s="1700"/>
      <c r="P123" s="1698">
        <f>IFERROR(IF(N123="",L123,(IF(N123="Y",IF((L123-20)&gt;0, (L123-20),0),L123))),"")</f>
        <v>100</v>
      </c>
      <c r="Q123" s="1698"/>
      <c r="R123" s="360"/>
    </row>
    <row r="124" spans="1:18" ht="14.25" customHeight="1">
      <c r="A124" s="1695" t="s">
        <v>898</v>
      </c>
      <c r="B124" s="1696"/>
      <c r="C124" s="1696"/>
      <c r="D124" s="1696"/>
      <c r="E124" s="1696"/>
      <c r="F124" s="1696"/>
      <c r="G124" s="1697"/>
      <c r="H124" s="1698">
        <v>100</v>
      </c>
      <c r="I124" s="1698"/>
      <c r="J124" s="1699"/>
      <c r="K124" s="1699"/>
      <c r="L124" s="1698" t="str">
        <f>IF(J124="","",(IF(J124&gt;H124,0,H124-J124)))</f>
        <v/>
      </c>
      <c r="M124" s="1698"/>
      <c r="N124" s="1700"/>
      <c r="O124" s="1700"/>
      <c r="P124" s="1698" t="str">
        <f>IFERROR(IF(N124="",L124,(IF(N124="Y",IF((L124-20)&gt;0, (L124-20),0),L124))),"")</f>
        <v/>
      </c>
      <c r="Q124" s="1698"/>
      <c r="R124" s="360"/>
    </row>
    <row r="125" spans="1:18" ht="17.25" customHeight="1">
      <c r="A125" s="1683" t="s">
        <v>899</v>
      </c>
      <c r="B125" s="1684"/>
      <c r="C125" s="1684"/>
      <c r="D125" s="1684"/>
      <c r="E125" s="1684"/>
      <c r="F125" s="1684"/>
      <c r="G125" s="1684"/>
      <c r="H125" s="1684"/>
      <c r="I125" s="1684"/>
      <c r="J125" s="1684"/>
      <c r="K125" s="1684"/>
      <c r="L125" s="1685"/>
      <c r="M125" s="1686" t="s">
        <v>900</v>
      </c>
      <c r="N125" s="1687"/>
      <c r="O125" s="1687"/>
      <c r="P125" s="1688">
        <f>IF(COUNT(P118:Q121)+COUNT(P123:Q124)=0,"",SUM(P118:Q124))</f>
        <v>100</v>
      </c>
      <c r="Q125" s="1689"/>
      <c r="R125" s="387"/>
    </row>
    <row r="126" spans="1:18" ht="14.25" customHeight="1">
      <c r="A126" s="1690" t="s">
        <v>901</v>
      </c>
      <c r="B126" s="1691"/>
      <c r="C126" s="1691"/>
      <c r="D126" s="1691"/>
      <c r="E126" s="1691"/>
      <c r="F126" s="1691"/>
      <c r="G126" s="1691"/>
      <c r="H126" s="1691"/>
      <c r="I126" s="1692"/>
      <c r="J126" s="1693" t="s">
        <v>902</v>
      </c>
      <c r="K126" s="1693"/>
      <c r="L126" s="1693"/>
      <c r="M126" s="1693"/>
      <c r="N126" s="1693"/>
      <c r="O126" s="388" t="str">
        <f>IF(O110="","",O110)</f>
        <v/>
      </c>
      <c r="P126" s="1694" t="s">
        <v>903</v>
      </c>
      <c r="Q126" s="1694"/>
      <c r="R126" s="383" t="str">
        <f>IF(R110="","",R110)</f>
        <v/>
      </c>
    </row>
    <row r="127" spans="1:18" ht="14.25" customHeight="1">
      <c r="A127" s="1678" t="s">
        <v>904</v>
      </c>
      <c r="B127" s="1519"/>
      <c r="C127" s="1519"/>
      <c r="D127" s="1519"/>
      <c r="E127" s="1519"/>
      <c r="F127" s="1519"/>
      <c r="G127" s="1519"/>
      <c r="H127" s="1519"/>
      <c r="I127" s="1519"/>
      <c r="J127" s="1519"/>
      <c r="K127" s="1519"/>
      <c r="L127" s="1519"/>
      <c r="M127" s="1519"/>
      <c r="N127" s="1519"/>
      <c r="O127" s="1519"/>
      <c r="P127" s="1519"/>
      <c r="Q127" s="1519"/>
      <c r="R127" s="384" t="str">
        <f>IF($H$99="","",IF($Q$99="","",(0.03*$H$99+(7.5*($Q$99+1)))))</f>
        <v/>
      </c>
    </row>
    <row r="128" spans="1:18" ht="14.25" customHeight="1">
      <c r="A128" s="1678" t="s">
        <v>905</v>
      </c>
      <c r="B128" s="1519"/>
      <c r="C128" s="1519"/>
      <c r="D128" s="1519"/>
      <c r="E128" s="1519"/>
      <c r="F128" s="1519"/>
      <c r="G128" s="1519"/>
      <c r="H128" s="1519"/>
      <c r="I128" s="1519"/>
      <c r="J128" s="1519"/>
      <c r="K128" s="1519"/>
      <c r="L128" s="1519"/>
      <c r="M128" s="1519"/>
      <c r="N128" s="1519"/>
      <c r="O128" s="1519"/>
      <c r="P128" s="1519"/>
      <c r="Q128" s="1519"/>
      <c r="R128" s="384">
        <f>IF(P125="","",IF(P125&gt;0,P125/4,""))</f>
        <v>25</v>
      </c>
    </row>
    <row r="129" spans="1:18" ht="14.25" customHeight="1">
      <c r="A129" s="1678" t="s">
        <v>906</v>
      </c>
      <c r="B129" s="1519"/>
      <c r="C129" s="1519"/>
      <c r="D129" s="1519"/>
      <c r="E129" s="1519"/>
      <c r="F129" s="1519"/>
      <c r="G129" s="1519"/>
      <c r="H129" s="1519"/>
      <c r="I129" s="1519"/>
      <c r="J129" s="1519"/>
      <c r="K129" s="1519"/>
      <c r="L129" s="1519"/>
      <c r="M129" s="1519"/>
      <c r="N129" s="1519"/>
      <c r="O129" s="1519"/>
      <c r="P129" s="1519"/>
      <c r="Q129" s="1519"/>
      <c r="R129" s="384" t="str">
        <f>IF(R127="","",IF(R128="",R127,R127+R128))</f>
        <v/>
      </c>
    </row>
    <row r="130" spans="1:18" ht="14.25" customHeight="1">
      <c r="A130" s="1679" t="s">
        <v>907</v>
      </c>
      <c r="B130" s="1262"/>
      <c r="C130" s="1262"/>
      <c r="D130" s="1262"/>
      <c r="E130" s="1262"/>
      <c r="F130" s="1262"/>
      <c r="G130" s="1262"/>
      <c r="H130" s="1519" t="s">
        <v>908</v>
      </c>
      <c r="I130" s="1519"/>
      <c r="J130" s="1519"/>
      <c r="K130" s="1519"/>
      <c r="L130" s="1519"/>
      <c r="M130" s="1519"/>
      <c r="N130" s="1519"/>
      <c r="O130" s="1519"/>
      <c r="P130" s="1519"/>
      <c r="Q130" s="1519"/>
      <c r="R130" s="384" t="str">
        <f>IF($O$96="","",IF(R126="","",IF(O126="","",0.052*$O$96*O126*R126)))</f>
        <v/>
      </c>
    </row>
    <row r="131" spans="1:18" ht="14.25" customHeight="1">
      <c r="A131" s="1680"/>
      <c r="B131" s="1681"/>
      <c r="C131" s="1681"/>
      <c r="D131" s="1681"/>
      <c r="E131" s="1681"/>
      <c r="F131" s="1681"/>
      <c r="G131" s="1681"/>
      <c r="H131" s="1682" t="s">
        <v>909</v>
      </c>
      <c r="I131" s="1682"/>
      <c r="J131" s="1682"/>
      <c r="K131" s="1682"/>
      <c r="L131" s="1682"/>
      <c r="M131" s="1682"/>
      <c r="N131" s="1682"/>
      <c r="O131" s="1682"/>
      <c r="P131" s="1682"/>
      <c r="Q131" s="1682"/>
      <c r="R131" s="385" t="str">
        <f>IF(R129="","",IF(R130="","",R129-R130))</f>
        <v/>
      </c>
    </row>
    <row r="132" spans="1:18" ht="12" customHeight="1">
      <c r="A132" s="1662" t="s">
        <v>912</v>
      </c>
      <c r="B132" s="1663"/>
      <c r="C132" s="1663"/>
      <c r="D132" s="1663"/>
      <c r="E132" s="1663"/>
      <c r="F132" s="1663"/>
      <c r="G132" s="1663"/>
      <c r="H132" s="1663"/>
      <c r="I132" s="1663"/>
      <c r="J132" s="1663"/>
      <c r="K132" s="1663"/>
      <c r="L132" s="1663"/>
      <c r="M132" s="1663"/>
      <c r="N132" s="1663"/>
      <c r="O132" s="1663"/>
      <c r="P132" s="1663"/>
      <c r="Q132" s="1663"/>
      <c r="R132" s="1664"/>
    </row>
    <row r="133" spans="1:18" ht="15" customHeight="1">
      <c r="A133" s="1665"/>
      <c r="B133" s="1666"/>
      <c r="C133" s="1666"/>
      <c r="D133" s="1666"/>
      <c r="E133" s="1666"/>
      <c r="F133" s="1666"/>
      <c r="G133" s="1666"/>
      <c r="H133" s="1666"/>
      <c r="I133" s="1666"/>
      <c r="J133" s="1666"/>
      <c r="K133" s="1667"/>
      <c r="L133" s="1668" t="s">
        <v>913</v>
      </c>
      <c r="M133" s="1669"/>
      <c r="N133" s="1669"/>
      <c r="O133" s="1669"/>
      <c r="P133" s="1669"/>
      <c r="Q133" s="1669"/>
      <c r="R133" s="1670"/>
    </row>
    <row r="134" spans="1:18" ht="15" customHeight="1">
      <c r="A134" s="1665"/>
      <c r="B134" s="1666"/>
      <c r="C134" s="1666"/>
      <c r="D134" s="1666"/>
      <c r="E134" s="1666"/>
      <c r="F134" s="1666"/>
      <c r="G134" s="1666"/>
      <c r="H134" s="1666"/>
      <c r="I134" s="1666"/>
      <c r="J134" s="1666"/>
      <c r="K134" s="1667"/>
      <c r="L134" s="1671" t="s">
        <v>914</v>
      </c>
      <c r="M134" s="1447"/>
      <c r="N134" s="1447"/>
      <c r="O134" s="1447"/>
      <c r="P134" s="1447"/>
      <c r="Q134" s="1672"/>
      <c r="R134" s="1673"/>
    </row>
    <row r="135" spans="1:18" ht="15" customHeight="1">
      <c r="A135" s="1665"/>
      <c r="B135" s="1666"/>
      <c r="C135" s="1666"/>
      <c r="D135" s="1666"/>
      <c r="E135" s="1666"/>
      <c r="F135" s="1666"/>
      <c r="G135" s="1666"/>
      <c r="H135" s="1666"/>
      <c r="I135" s="1666"/>
      <c r="J135" s="1666"/>
      <c r="K135" s="1667"/>
      <c r="L135" s="1674" t="s">
        <v>915</v>
      </c>
      <c r="M135" s="1675"/>
      <c r="N135" s="1675"/>
      <c r="O135" s="1675"/>
      <c r="P135" s="1675"/>
      <c r="Q135" s="1676"/>
      <c r="R135" s="1677"/>
    </row>
    <row r="136" spans="1:18" ht="3.75" customHeight="1">
      <c r="A136" s="1648"/>
      <c r="B136" s="1649"/>
      <c r="C136" s="1649"/>
      <c r="D136" s="1649"/>
      <c r="E136" s="1649"/>
      <c r="F136" s="1649"/>
      <c r="G136" s="1649"/>
      <c r="H136" s="1649"/>
      <c r="I136" s="1649"/>
      <c r="J136" s="1649"/>
      <c r="K136" s="1649"/>
      <c r="L136" s="1649"/>
      <c r="M136" s="1649"/>
      <c r="N136" s="1649"/>
      <c r="O136" s="1649"/>
      <c r="P136" s="1649"/>
      <c r="Q136" s="1649"/>
      <c r="R136" s="1650"/>
    </row>
    <row r="137" spans="1:18" ht="15.75" customHeight="1" thickBot="1">
      <c r="A137" s="1651"/>
      <c r="B137" s="1652"/>
      <c r="C137" s="1652"/>
      <c r="D137" s="1652"/>
      <c r="E137" s="1652"/>
      <c r="F137" s="1652"/>
      <c r="G137" s="1652"/>
      <c r="H137" s="1652"/>
      <c r="I137" s="1652"/>
      <c r="J137" s="1652"/>
      <c r="K137" s="1652"/>
      <c r="L137" s="1652"/>
      <c r="M137" s="1652"/>
      <c r="N137" s="1652"/>
      <c r="O137" s="1652"/>
      <c r="P137" s="1652"/>
      <c r="Q137" s="1652"/>
      <c r="R137" s="1653"/>
    </row>
    <row r="138" spans="1:18" ht="15.75" customHeight="1">
      <c r="A138" s="1654" t="s">
        <v>799</v>
      </c>
      <c r="B138" s="1655"/>
      <c r="C138" s="1655"/>
      <c r="D138" s="1655"/>
      <c r="E138" s="1655"/>
      <c r="F138" s="1655"/>
      <c r="G138" s="1655"/>
      <c r="H138" s="1655"/>
      <c r="I138" s="1655"/>
      <c r="J138" s="1655"/>
      <c r="K138" s="1655"/>
      <c r="L138" s="1655"/>
      <c r="M138" s="1655"/>
      <c r="N138" s="1655"/>
      <c r="O138" s="1655"/>
      <c r="P138" s="1655"/>
      <c r="Q138" s="1655"/>
      <c r="R138" s="1656"/>
    </row>
    <row r="139" spans="1:18" ht="15.75" customHeight="1">
      <c r="A139" s="1657" t="s">
        <v>800</v>
      </c>
      <c r="B139" s="1658"/>
      <c r="C139" s="1658"/>
      <c r="D139" s="1658"/>
      <c r="E139" s="1658"/>
      <c r="F139" s="1658"/>
      <c r="G139" s="1658"/>
      <c r="H139" s="1658"/>
      <c r="I139" s="1658"/>
      <c r="J139" s="1658"/>
      <c r="K139" s="1658"/>
      <c r="L139" s="1658"/>
      <c r="M139" s="1658"/>
      <c r="N139" s="1658"/>
      <c r="O139" s="1658"/>
      <c r="P139" s="1658"/>
      <c r="Q139" s="1659" t="s">
        <v>801</v>
      </c>
      <c r="R139" s="1660"/>
    </row>
    <row r="140" spans="1:18">
      <c r="A140" s="318"/>
      <c r="B140" s="318"/>
      <c r="C140" s="318"/>
      <c r="D140" s="318"/>
      <c r="E140" s="318"/>
      <c r="F140" s="318"/>
      <c r="G140" s="318"/>
      <c r="H140" s="318"/>
      <c r="I140" s="318"/>
      <c r="J140" s="318"/>
      <c r="K140" s="318"/>
      <c r="L140" s="318"/>
      <c r="M140" s="318"/>
      <c r="N140" s="318"/>
      <c r="O140" s="318"/>
      <c r="P140" s="318"/>
      <c r="Q140" s="318"/>
      <c r="R140" s="318"/>
    </row>
    <row r="141" spans="1:18">
      <c r="A141" s="1661" t="s">
        <v>916</v>
      </c>
      <c r="B141" s="1661"/>
      <c r="C141" s="1661"/>
      <c r="D141" s="318"/>
      <c r="E141" s="318"/>
      <c r="F141" s="318"/>
      <c r="G141" s="318"/>
      <c r="H141" s="318"/>
      <c r="I141" s="318"/>
      <c r="J141" s="318"/>
      <c r="K141" s="318"/>
      <c r="L141" s="318"/>
      <c r="M141" s="318"/>
      <c r="N141" s="318"/>
      <c r="O141" s="318"/>
      <c r="P141" s="318"/>
      <c r="Q141" s="318"/>
      <c r="R141" s="318"/>
    </row>
    <row r="142" spans="1:18">
      <c r="A142" s="318"/>
      <c r="B142" s="318"/>
      <c r="C142" s="318"/>
      <c r="D142" s="318"/>
      <c r="E142" s="318"/>
      <c r="F142" s="318"/>
      <c r="G142" s="318"/>
      <c r="H142" s="318"/>
      <c r="I142" s="318"/>
      <c r="J142" s="318"/>
      <c r="K142" s="318"/>
      <c r="L142" s="318"/>
      <c r="M142" s="318"/>
      <c r="N142" s="318"/>
      <c r="O142" s="318"/>
      <c r="P142" s="318"/>
      <c r="Q142" s="318"/>
      <c r="R142" s="318"/>
    </row>
    <row r="143" spans="1:18">
      <c r="A143" s="318"/>
      <c r="B143" s="318"/>
      <c r="C143" s="318"/>
      <c r="D143" s="318"/>
      <c r="E143" s="318"/>
      <c r="F143" s="318"/>
      <c r="G143" s="318"/>
      <c r="H143" s="318"/>
      <c r="I143" s="318"/>
      <c r="J143" s="318"/>
      <c r="K143" s="318"/>
      <c r="L143" s="318"/>
      <c r="M143" s="318"/>
      <c r="N143" s="318"/>
      <c r="O143" s="318"/>
      <c r="P143" s="318"/>
      <c r="Q143" s="318"/>
      <c r="R143" s="318"/>
    </row>
    <row r="144" spans="1:18">
      <c r="A144" s="318"/>
      <c r="B144" s="318"/>
      <c r="C144" s="318"/>
      <c r="D144" s="318"/>
      <c r="E144" s="318"/>
      <c r="F144" s="318"/>
      <c r="G144" s="318"/>
      <c r="H144" s="318"/>
      <c r="I144" s="318"/>
      <c r="J144" s="318"/>
      <c r="K144" s="318"/>
      <c r="L144" s="318"/>
      <c r="M144" s="318"/>
      <c r="N144" s="318"/>
      <c r="O144" s="318"/>
      <c r="P144" s="318"/>
      <c r="Q144" s="318"/>
      <c r="R144" s="318"/>
    </row>
    <row r="145" spans="1:18">
      <c r="A145" s="318"/>
      <c r="B145" s="318"/>
      <c r="C145" s="318"/>
      <c r="D145" s="318"/>
      <c r="E145" s="318"/>
      <c r="F145" s="318"/>
      <c r="G145" s="318"/>
      <c r="H145" s="318"/>
      <c r="I145" s="318"/>
      <c r="J145" s="318"/>
      <c r="K145" s="318"/>
      <c r="L145" s="318"/>
      <c r="M145" s="318"/>
      <c r="N145" s="318"/>
      <c r="O145" s="318"/>
      <c r="P145" s="318"/>
      <c r="Q145" s="318"/>
      <c r="R145" s="318"/>
    </row>
    <row r="146" spans="1:18">
      <c r="A146" s="318"/>
      <c r="B146" s="318"/>
      <c r="C146" s="318"/>
      <c r="D146" s="318"/>
      <c r="E146" s="318"/>
      <c r="F146" s="318"/>
      <c r="G146" s="318"/>
      <c r="H146" s="318"/>
      <c r="I146" s="318"/>
      <c r="J146" s="318"/>
      <c r="K146" s="318"/>
      <c r="L146" s="318"/>
      <c r="M146" s="318"/>
      <c r="N146" s="318"/>
      <c r="O146" s="318"/>
      <c r="P146" s="318"/>
      <c r="Q146" s="318"/>
      <c r="R146" s="318"/>
    </row>
    <row r="147" spans="1:18">
      <c r="A147" s="318"/>
      <c r="B147" s="318"/>
      <c r="C147" s="318"/>
      <c r="D147" s="318"/>
      <c r="E147" s="318"/>
      <c r="F147" s="318"/>
      <c r="G147" s="318"/>
      <c r="H147" s="318"/>
      <c r="I147" s="318"/>
      <c r="J147" s="318"/>
      <c r="K147" s="318"/>
      <c r="L147" s="318"/>
      <c r="M147" s="318"/>
      <c r="N147" s="318"/>
      <c r="O147" s="318"/>
      <c r="P147" s="318"/>
      <c r="Q147" s="318"/>
      <c r="R147" s="318"/>
    </row>
    <row r="148" spans="1:18">
      <c r="A148" s="318"/>
      <c r="B148" s="318"/>
      <c r="C148" s="318"/>
      <c r="D148" s="318"/>
      <c r="E148" s="318"/>
      <c r="F148" s="318"/>
      <c r="G148" s="318"/>
      <c r="H148" s="318"/>
      <c r="I148" s="318"/>
      <c r="J148" s="318"/>
      <c r="K148" s="318"/>
      <c r="L148" s="318"/>
      <c r="M148" s="318"/>
      <c r="N148" s="318"/>
      <c r="O148" s="318"/>
      <c r="P148" s="318"/>
      <c r="Q148" s="318"/>
      <c r="R148" s="318"/>
    </row>
    <row r="149" spans="1:18">
      <c r="A149" s="318"/>
      <c r="B149" s="318"/>
      <c r="C149" s="318"/>
      <c r="D149" s="318"/>
      <c r="E149" s="318"/>
      <c r="F149" s="318"/>
      <c r="G149" s="318"/>
      <c r="H149" s="318"/>
      <c r="I149" s="318"/>
      <c r="J149" s="318"/>
      <c r="K149" s="318"/>
      <c r="L149" s="318"/>
      <c r="M149" s="318"/>
      <c r="N149" s="318"/>
      <c r="O149" s="318"/>
      <c r="P149" s="318"/>
      <c r="Q149" s="318"/>
      <c r="R149" s="318"/>
    </row>
    <row r="150" spans="1:18">
      <c r="A150" s="318"/>
      <c r="B150" s="318"/>
      <c r="C150" s="318"/>
      <c r="D150" s="318"/>
      <c r="E150" s="318"/>
      <c r="F150" s="318"/>
      <c r="G150" s="318"/>
      <c r="H150" s="318"/>
      <c r="I150" s="318"/>
      <c r="J150" s="318"/>
      <c r="K150" s="318"/>
      <c r="L150" s="318"/>
      <c r="M150" s="318"/>
      <c r="N150" s="318"/>
      <c r="O150" s="318"/>
      <c r="P150" s="318"/>
      <c r="Q150" s="318"/>
      <c r="R150" s="318"/>
    </row>
    <row r="151" spans="1:18">
      <c r="A151" s="318"/>
      <c r="B151" s="318"/>
      <c r="C151" s="318"/>
      <c r="D151" s="318"/>
      <c r="E151" s="318"/>
      <c r="F151" s="318"/>
      <c r="G151" s="318"/>
      <c r="H151" s="318"/>
      <c r="I151" s="318"/>
      <c r="J151" s="318"/>
      <c r="K151" s="318"/>
      <c r="L151" s="318"/>
      <c r="M151" s="318"/>
      <c r="N151" s="318"/>
      <c r="O151" s="318"/>
      <c r="P151" s="318"/>
      <c r="Q151" s="318"/>
      <c r="R151" s="318"/>
    </row>
    <row r="152" spans="1:18">
      <c r="A152" s="318"/>
      <c r="B152" s="318"/>
      <c r="C152" s="318"/>
      <c r="D152" s="318"/>
      <c r="E152" s="318"/>
      <c r="F152" s="318"/>
      <c r="G152" s="318"/>
      <c r="H152" s="318"/>
      <c r="I152" s="318"/>
      <c r="J152" s="318"/>
      <c r="K152" s="318"/>
      <c r="L152" s="318"/>
      <c r="M152" s="318"/>
      <c r="N152" s="318"/>
      <c r="O152" s="318"/>
      <c r="P152" s="318"/>
      <c r="Q152" s="318"/>
      <c r="R152" s="318"/>
    </row>
    <row r="153" spans="1:18">
      <c r="A153" s="318"/>
      <c r="B153" s="318"/>
      <c r="C153" s="318"/>
      <c r="D153" s="318"/>
      <c r="E153" s="318"/>
      <c r="F153" s="318"/>
      <c r="G153" s="318"/>
      <c r="H153" s="318"/>
      <c r="I153" s="318"/>
      <c r="J153" s="318"/>
      <c r="K153" s="318"/>
      <c r="L153" s="318"/>
      <c r="M153" s="318"/>
      <c r="N153" s="318"/>
      <c r="O153" s="318"/>
      <c r="P153" s="318"/>
      <c r="Q153" s="318"/>
      <c r="R153" s="318"/>
    </row>
    <row r="154" spans="1:18">
      <c r="A154" s="318"/>
      <c r="B154" s="318"/>
      <c r="C154" s="318"/>
      <c r="D154" s="318"/>
      <c r="E154" s="318"/>
      <c r="F154" s="318"/>
      <c r="G154" s="318"/>
      <c r="H154" s="318"/>
      <c r="I154" s="318"/>
      <c r="J154" s="318"/>
      <c r="K154" s="318"/>
      <c r="L154" s="318"/>
      <c r="M154" s="318"/>
      <c r="N154" s="318"/>
      <c r="O154" s="318"/>
      <c r="P154" s="318"/>
      <c r="Q154" s="318"/>
      <c r="R154" s="318"/>
    </row>
    <row r="155" spans="1:18">
      <c r="A155" s="318"/>
      <c r="B155" s="318"/>
      <c r="C155" s="318"/>
      <c r="D155" s="318"/>
      <c r="E155" s="318"/>
      <c r="F155" s="318"/>
      <c r="G155" s="318"/>
      <c r="H155" s="318"/>
      <c r="I155" s="318"/>
      <c r="J155" s="318"/>
      <c r="K155" s="318"/>
      <c r="L155" s="318"/>
      <c r="M155" s="318"/>
      <c r="N155" s="318"/>
      <c r="O155" s="318"/>
      <c r="P155" s="318"/>
      <c r="Q155" s="318"/>
      <c r="R155" s="318"/>
    </row>
    <row r="156" spans="1:18">
      <c r="A156" s="318"/>
      <c r="B156" s="318"/>
      <c r="C156" s="318"/>
      <c r="D156" s="318"/>
      <c r="E156" s="318"/>
      <c r="F156" s="318"/>
      <c r="G156" s="318"/>
      <c r="H156" s="318"/>
      <c r="I156" s="318"/>
      <c r="J156" s="318"/>
      <c r="K156" s="318"/>
      <c r="L156" s="318"/>
      <c r="M156" s="318"/>
      <c r="N156" s="318"/>
      <c r="O156" s="318"/>
      <c r="P156" s="318"/>
      <c r="Q156" s="318"/>
      <c r="R156" s="318"/>
    </row>
    <row r="157" spans="1:18">
      <c r="A157" s="318"/>
      <c r="B157" s="318"/>
      <c r="C157" s="318"/>
      <c r="D157" s="318"/>
      <c r="E157" s="318"/>
      <c r="F157" s="318"/>
      <c r="G157" s="318"/>
      <c r="H157" s="318"/>
      <c r="I157" s="318"/>
      <c r="J157" s="318"/>
      <c r="K157" s="318"/>
      <c r="L157" s="318"/>
      <c r="M157" s="318"/>
      <c r="N157" s="318"/>
      <c r="O157" s="318"/>
      <c r="P157" s="318"/>
      <c r="Q157" s="318"/>
      <c r="R157" s="318"/>
    </row>
    <row r="158" spans="1:18">
      <c r="A158" s="318"/>
      <c r="B158" s="318"/>
      <c r="C158" s="318"/>
      <c r="D158" s="318"/>
      <c r="E158" s="318"/>
      <c r="F158" s="318"/>
      <c r="G158" s="318"/>
      <c r="H158" s="318"/>
      <c r="I158" s="318"/>
      <c r="J158" s="318"/>
      <c r="K158" s="318"/>
      <c r="L158" s="318"/>
      <c r="M158" s="318"/>
      <c r="N158" s="318"/>
      <c r="O158" s="318"/>
      <c r="P158" s="318"/>
      <c r="Q158" s="318"/>
      <c r="R158" s="318"/>
    </row>
    <row r="159" spans="1:18">
      <c r="A159" s="318"/>
      <c r="B159" s="318"/>
      <c r="C159" s="318"/>
      <c r="D159" s="318"/>
      <c r="E159" s="318"/>
      <c r="F159" s="318"/>
      <c r="G159" s="318"/>
      <c r="H159" s="318"/>
      <c r="I159" s="318"/>
      <c r="J159" s="318"/>
      <c r="K159" s="318"/>
      <c r="L159" s="318"/>
      <c r="M159" s="318"/>
      <c r="N159" s="318"/>
      <c r="O159" s="318"/>
      <c r="P159" s="318"/>
      <c r="Q159" s="318"/>
      <c r="R159" s="318"/>
    </row>
    <row r="160" spans="1:18">
      <c r="A160" s="318"/>
      <c r="B160" s="318"/>
      <c r="C160" s="318"/>
      <c r="D160" s="318"/>
      <c r="E160" s="318"/>
      <c r="F160" s="318"/>
      <c r="G160" s="318"/>
      <c r="H160" s="318"/>
      <c r="I160" s="318"/>
      <c r="J160" s="318"/>
      <c r="K160" s="318"/>
      <c r="L160" s="318"/>
      <c r="M160" s="318"/>
      <c r="N160" s="318"/>
      <c r="O160" s="318"/>
      <c r="P160" s="318"/>
      <c r="Q160" s="318"/>
      <c r="R160" s="318"/>
    </row>
    <row r="161" spans="1:18">
      <c r="A161" s="318"/>
      <c r="B161" s="318"/>
      <c r="C161" s="318"/>
      <c r="D161" s="318"/>
      <c r="E161" s="318"/>
      <c r="F161" s="318"/>
      <c r="G161" s="318"/>
      <c r="H161" s="318"/>
      <c r="I161" s="318"/>
      <c r="J161" s="318"/>
      <c r="K161" s="318"/>
      <c r="L161" s="318"/>
      <c r="M161" s="318"/>
      <c r="N161" s="318"/>
      <c r="O161" s="318"/>
      <c r="P161" s="318"/>
      <c r="Q161" s="318"/>
      <c r="R161" s="318"/>
    </row>
    <row r="162" spans="1:18">
      <c r="A162" s="318"/>
      <c r="B162" s="318"/>
      <c r="C162" s="318"/>
      <c r="D162" s="318"/>
      <c r="E162" s="318"/>
      <c r="F162" s="318"/>
      <c r="G162" s="318"/>
      <c r="H162" s="318"/>
      <c r="I162" s="318"/>
      <c r="J162" s="318"/>
      <c r="K162" s="318"/>
      <c r="L162" s="318"/>
      <c r="M162" s="318"/>
      <c r="N162" s="318"/>
      <c r="O162" s="318"/>
      <c r="P162" s="318"/>
      <c r="Q162" s="318"/>
      <c r="R162" s="318"/>
    </row>
    <row r="163" spans="1:18">
      <c r="A163" s="318"/>
      <c r="B163" s="318"/>
      <c r="C163" s="318"/>
      <c r="D163" s="318"/>
      <c r="E163" s="318"/>
      <c r="F163" s="318"/>
      <c r="G163" s="318"/>
      <c r="H163" s="318"/>
      <c r="I163" s="318"/>
      <c r="J163" s="318"/>
      <c r="K163" s="318"/>
      <c r="L163" s="318"/>
      <c r="M163" s="318"/>
      <c r="N163" s="318"/>
      <c r="O163" s="318"/>
      <c r="P163" s="318"/>
      <c r="Q163" s="318"/>
      <c r="R163" s="318"/>
    </row>
    <row r="164" spans="1:18">
      <c r="A164" s="318"/>
      <c r="B164" s="318"/>
      <c r="C164" s="318"/>
      <c r="D164" s="318"/>
      <c r="E164" s="318"/>
      <c r="F164" s="318"/>
      <c r="G164" s="318"/>
      <c r="H164" s="318"/>
      <c r="I164" s="318"/>
      <c r="J164" s="318"/>
      <c r="K164" s="318"/>
      <c r="L164" s="318"/>
      <c r="M164" s="318"/>
      <c r="N164" s="318"/>
      <c r="O164" s="318"/>
      <c r="P164" s="318"/>
      <c r="Q164" s="318"/>
      <c r="R164" s="318"/>
    </row>
    <row r="165" spans="1:18">
      <c r="A165" s="318"/>
      <c r="B165" s="318"/>
      <c r="C165" s="318"/>
      <c r="D165" s="318"/>
      <c r="E165" s="318"/>
      <c r="F165" s="318"/>
      <c r="G165" s="318"/>
      <c r="H165" s="318"/>
      <c r="I165" s="318"/>
      <c r="J165" s="318"/>
      <c r="K165" s="318"/>
      <c r="L165" s="318"/>
      <c r="M165" s="318"/>
      <c r="N165" s="318"/>
      <c r="O165" s="318"/>
      <c r="P165" s="318"/>
      <c r="Q165" s="318"/>
      <c r="R165" s="318"/>
    </row>
    <row r="166" spans="1:18">
      <c r="A166" s="318"/>
      <c r="B166" s="318"/>
      <c r="C166" s="318"/>
      <c r="D166" s="318"/>
      <c r="E166" s="318"/>
      <c r="F166" s="318"/>
      <c r="G166" s="318"/>
      <c r="H166" s="318"/>
      <c r="I166" s="318"/>
      <c r="J166" s="318"/>
      <c r="K166" s="318"/>
      <c r="L166" s="318"/>
      <c r="M166" s="318"/>
      <c r="N166" s="318"/>
      <c r="O166" s="318"/>
      <c r="P166" s="318"/>
      <c r="Q166" s="318"/>
      <c r="R166" s="318"/>
    </row>
    <row r="167" spans="1:18">
      <c r="A167" s="318"/>
      <c r="B167" s="318"/>
      <c r="C167" s="318"/>
      <c r="D167" s="318"/>
      <c r="E167" s="318"/>
      <c r="F167" s="318"/>
      <c r="G167" s="318"/>
      <c r="H167" s="318"/>
      <c r="I167" s="318"/>
      <c r="J167" s="318"/>
      <c r="K167" s="318"/>
      <c r="L167" s="318"/>
      <c r="M167" s="318"/>
      <c r="N167" s="318"/>
      <c r="O167" s="318"/>
      <c r="P167" s="318"/>
      <c r="Q167" s="318"/>
      <c r="R167" s="318"/>
    </row>
  </sheetData>
  <sheetProtection algorithmName="SHA-512" hashValue="aErFdSJSsUBWxBiJuCfcD5qgeL42j2uYtzcXQRLTOIREbLNw9GXI2fANsxHsL5c/f+mBx0GY4rMDfA5iWDj7eA==" saltValue="WcZ95SFWTDYhFA/X5ejtTw==" spinCount="100000" sheet="1" selectLockedCells="1"/>
  <mergeCells count="337">
    <mergeCell ref="A1:R1"/>
    <mergeCell ref="A2:R2"/>
    <mergeCell ref="A4:R4"/>
    <mergeCell ref="A5:R5"/>
    <mergeCell ref="A7:B7"/>
    <mergeCell ref="C7:G7"/>
    <mergeCell ref="H7:I7"/>
    <mergeCell ref="J7:M7"/>
    <mergeCell ref="N7:O7"/>
    <mergeCell ref="P7:R7"/>
    <mergeCell ref="A6:B6"/>
    <mergeCell ref="C6:H6"/>
    <mergeCell ref="I6:J6"/>
    <mergeCell ref="K6:M6"/>
    <mergeCell ref="O6:P6"/>
    <mergeCell ref="Q6:R6"/>
    <mergeCell ref="A10:R10"/>
    <mergeCell ref="A11:D11"/>
    <mergeCell ref="E11:J11"/>
    <mergeCell ref="M11:R11"/>
    <mergeCell ref="A12:D12"/>
    <mergeCell ref="E12:J12"/>
    <mergeCell ref="M12:R12"/>
    <mergeCell ref="A8:D8"/>
    <mergeCell ref="E8:I8"/>
    <mergeCell ref="J8:M8"/>
    <mergeCell ref="N8:R8"/>
    <mergeCell ref="A9:I9"/>
    <mergeCell ref="K9:R9"/>
    <mergeCell ref="A13:D13"/>
    <mergeCell ref="E13:J13"/>
    <mergeCell ref="M13:R13"/>
    <mergeCell ref="A14:D16"/>
    <mergeCell ref="E14:J14"/>
    <mergeCell ref="M14:R14"/>
    <mergeCell ref="E15:J15"/>
    <mergeCell ref="M15:R15"/>
    <mergeCell ref="E16:J16"/>
    <mergeCell ref="M16:R16"/>
    <mergeCell ref="A17:D17"/>
    <mergeCell ref="E17:J17"/>
    <mergeCell ref="M17:R17"/>
    <mergeCell ref="M18:R18"/>
    <mergeCell ref="A19:D20"/>
    <mergeCell ref="E19:J19"/>
    <mergeCell ref="M19:R19"/>
    <mergeCell ref="E20:J20"/>
    <mergeCell ref="M20:R20"/>
    <mergeCell ref="L24:L25"/>
    <mergeCell ref="M24:R24"/>
    <mergeCell ref="M25:R25"/>
    <mergeCell ref="E26:J26"/>
    <mergeCell ref="M26:R26"/>
    <mergeCell ref="A27:H27"/>
    <mergeCell ref="I27:R27"/>
    <mergeCell ref="A21:D21"/>
    <mergeCell ref="E21:J21"/>
    <mergeCell ref="M21:R21"/>
    <mergeCell ref="A22:D26"/>
    <mergeCell ref="E22:J22"/>
    <mergeCell ref="M22:R22"/>
    <mergeCell ref="E23:J23"/>
    <mergeCell ref="M23:R23"/>
    <mergeCell ref="E24:J25"/>
    <mergeCell ref="K24:K25"/>
    <mergeCell ref="A33:R33"/>
    <mergeCell ref="A34:H34"/>
    <mergeCell ref="I34:J34"/>
    <mergeCell ref="A35:J35"/>
    <mergeCell ref="A36:J36"/>
    <mergeCell ref="A37:J37"/>
    <mergeCell ref="A28:J28"/>
    <mergeCell ref="K28:L28"/>
    <mergeCell ref="M28:N28"/>
    <mergeCell ref="O28:R28"/>
    <mergeCell ref="A29:R29"/>
    <mergeCell ref="A30:R32"/>
    <mergeCell ref="A44:P44"/>
    <mergeCell ref="Q44:R44"/>
    <mergeCell ref="A45:R45"/>
    <mergeCell ref="A46:R46"/>
    <mergeCell ref="C47:F47"/>
    <mergeCell ref="J47:R47"/>
    <mergeCell ref="A38:J38"/>
    <mergeCell ref="A39:J39"/>
    <mergeCell ref="A40:J40"/>
    <mergeCell ref="A41:R41"/>
    <mergeCell ref="A42:R42"/>
    <mergeCell ref="A43:R43"/>
    <mergeCell ref="A51:A52"/>
    <mergeCell ref="B51:C52"/>
    <mergeCell ref="D51:D52"/>
    <mergeCell ref="E51:F51"/>
    <mergeCell ref="I51:J51"/>
    <mergeCell ref="O51:P51"/>
    <mergeCell ref="A48:R48"/>
    <mergeCell ref="A49:R49"/>
    <mergeCell ref="A50:D50"/>
    <mergeCell ref="E50:F50"/>
    <mergeCell ref="G50:L50"/>
    <mergeCell ref="M50:R50"/>
    <mergeCell ref="H57:J57"/>
    <mergeCell ref="N57:P57"/>
    <mergeCell ref="A58:R58"/>
    <mergeCell ref="A59:R59"/>
    <mergeCell ref="A60:R62"/>
    <mergeCell ref="A63:R63"/>
    <mergeCell ref="A53:B53"/>
    <mergeCell ref="A54:B54"/>
    <mergeCell ref="A55:B55"/>
    <mergeCell ref="A56:B56"/>
    <mergeCell ref="A57:B57"/>
    <mergeCell ref="C57:F57"/>
    <mergeCell ref="R71:R72"/>
    <mergeCell ref="A72:G72"/>
    <mergeCell ref="H72:K72"/>
    <mergeCell ref="M72:O72"/>
    <mergeCell ref="A64:R64"/>
    <mergeCell ref="A65:R65"/>
    <mergeCell ref="A66:R66"/>
    <mergeCell ref="A67:R67"/>
    <mergeCell ref="A68:R68"/>
    <mergeCell ref="A69:K69"/>
    <mergeCell ref="L69:O69"/>
    <mergeCell ref="P69:R70"/>
    <mergeCell ref="A70:G70"/>
    <mergeCell ref="H70:K70"/>
    <mergeCell ref="A73:G73"/>
    <mergeCell ref="H73:K73"/>
    <mergeCell ref="M73:O73"/>
    <mergeCell ref="P73:Q73"/>
    <mergeCell ref="A74:G74"/>
    <mergeCell ref="H74:K74"/>
    <mergeCell ref="M74:O74"/>
    <mergeCell ref="P74:Q74"/>
    <mergeCell ref="L70:O70"/>
    <mergeCell ref="A71:G71"/>
    <mergeCell ref="H71:K71"/>
    <mergeCell ref="M71:O71"/>
    <mergeCell ref="P71:Q72"/>
    <mergeCell ref="P77:Q77"/>
    <mergeCell ref="A78:G78"/>
    <mergeCell ref="H78:K78"/>
    <mergeCell ref="M78:O78"/>
    <mergeCell ref="P78:R87"/>
    <mergeCell ref="A79:G79"/>
    <mergeCell ref="H79:K79"/>
    <mergeCell ref="A75:G75"/>
    <mergeCell ref="H75:K75"/>
    <mergeCell ref="M75:O75"/>
    <mergeCell ref="P75:Q75"/>
    <mergeCell ref="A76:G76"/>
    <mergeCell ref="H76:K76"/>
    <mergeCell ref="M76:O76"/>
    <mergeCell ref="P76:Q76"/>
    <mergeCell ref="M79:O79"/>
    <mergeCell ref="A80:G80"/>
    <mergeCell ref="H80:K80"/>
    <mergeCell ref="M80:O80"/>
    <mergeCell ref="A81:G81"/>
    <mergeCell ref="H81:K81"/>
    <mergeCell ref="M81:O81"/>
    <mergeCell ref="A77:G77"/>
    <mergeCell ref="H77:K77"/>
    <mergeCell ref="M77:O77"/>
    <mergeCell ref="A84:G84"/>
    <mergeCell ref="H84:K84"/>
    <mergeCell ref="M84:O84"/>
    <mergeCell ref="A85:K87"/>
    <mergeCell ref="M85:O85"/>
    <mergeCell ref="M86:O86"/>
    <mergeCell ref="M87:O87"/>
    <mergeCell ref="A82:G82"/>
    <mergeCell ref="H82:K82"/>
    <mergeCell ref="M82:O82"/>
    <mergeCell ref="A83:G83"/>
    <mergeCell ref="H83:K83"/>
    <mergeCell ref="M83:O83"/>
    <mergeCell ref="A93:R93"/>
    <mergeCell ref="A94:B94"/>
    <mergeCell ref="C94:F94"/>
    <mergeCell ref="G94:I94"/>
    <mergeCell ref="J94:R94"/>
    <mergeCell ref="A95:R95"/>
    <mergeCell ref="A88:R88"/>
    <mergeCell ref="A89:R89"/>
    <mergeCell ref="A90:R90"/>
    <mergeCell ref="A91:P91"/>
    <mergeCell ref="Q91:R91"/>
    <mergeCell ref="A92:R92"/>
    <mergeCell ref="A99:G99"/>
    <mergeCell ref="H99:I99"/>
    <mergeCell ref="J99:K99"/>
    <mergeCell ref="L99:M99"/>
    <mergeCell ref="N99:P99"/>
    <mergeCell ref="Q99:R99"/>
    <mergeCell ref="A96:E96"/>
    <mergeCell ref="F96:G96"/>
    <mergeCell ref="J96:N96"/>
    <mergeCell ref="O96:P96"/>
    <mergeCell ref="A97:R97"/>
    <mergeCell ref="A98:R98"/>
    <mergeCell ref="A102:G102"/>
    <mergeCell ref="H102:I102"/>
    <mergeCell ref="J102:K102"/>
    <mergeCell ref="L102:M102"/>
    <mergeCell ref="N102:O102"/>
    <mergeCell ref="P102:Q102"/>
    <mergeCell ref="A100:R100"/>
    <mergeCell ref="A101:G101"/>
    <mergeCell ref="H101:I101"/>
    <mergeCell ref="J101:K101"/>
    <mergeCell ref="L101:M101"/>
    <mergeCell ref="N101:O101"/>
    <mergeCell ref="P101:Q101"/>
    <mergeCell ref="A104:G104"/>
    <mergeCell ref="H104:I104"/>
    <mergeCell ref="J104:K104"/>
    <mergeCell ref="L104:M104"/>
    <mergeCell ref="N104:O104"/>
    <mergeCell ref="P104:Q104"/>
    <mergeCell ref="A103:G103"/>
    <mergeCell ref="H103:I103"/>
    <mergeCell ref="J103:K103"/>
    <mergeCell ref="L103:M103"/>
    <mergeCell ref="N103:O103"/>
    <mergeCell ref="P103:Q103"/>
    <mergeCell ref="A106:G106"/>
    <mergeCell ref="H106:I106"/>
    <mergeCell ref="J106:K106"/>
    <mergeCell ref="L106:M106"/>
    <mergeCell ref="N106:O106"/>
    <mergeCell ref="P106:Q106"/>
    <mergeCell ref="A105:G105"/>
    <mergeCell ref="H105:I105"/>
    <mergeCell ref="J105:K105"/>
    <mergeCell ref="L105:M105"/>
    <mergeCell ref="N105:O105"/>
    <mergeCell ref="P105:Q105"/>
    <mergeCell ref="A108:G108"/>
    <mergeCell ref="H108:I108"/>
    <mergeCell ref="J108:K108"/>
    <mergeCell ref="L108:M108"/>
    <mergeCell ref="N108:O108"/>
    <mergeCell ref="P108:Q108"/>
    <mergeCell ref="A107:G107"/>
    <mergeCell ref="H107:I107"/>
    <mergeCell ref="J107:K107"/>
    <mergeCell ref="L107:M107"/>
    <mergeCell ref="N107:O107"/>
    <mergeCell ref="P107:Q107"/>
    <mergeCell ref="A111:Q111"/>
    <mergeCell ref="A112:Q112"/>
    <mergeCell ref="A113:Q113"/>
    <mergeCell ref="A114:G115"/>
    <mergeCell ref="H114:Q114"/>
    <mergeCell ref="H115:Q115"/>
    <mergeCell ref="A109:L109"/>
    <mergeCell ref="M109:O109"/>
    <mergeCell ref="P109:Q109"/>
    <mergeCell ref="A110:I110"/>
    <mergeCell ref="J110:N110"/>
    <mergeCell ref="P110:Q110"/>
    <mergeCell ref="A118:G118"/>
    <mergeCell ref="H118:I118"/>
    <mergeCell ref="J118:K118"/>
    <mergeCell ref="L118:M118"/>
    <mergeCell ref="N118:O118"/>
    <mergeCell ref="P118:Q118"/>
    <mergeCell ref="A116:R116"/>
    <mergeCell ref="A117:G117"/>
    <mergeCell ref="H117:I117"/>
    <mergeCell ref="J117:K117"/>
    <mergeCell ref="L117:M117"/>
    <mergeCell ref="N117:O117"/>
    <mergeCell ref="P117:Q117"/>
    <mergeCell ref="A120:G120"/>
    <mergeCell ref="H120:I120"/>
    <mergeCell ref="J120:K120"/>
    <mergeCell ref="L120:M120"/>
    <mergeCell ref="N120:O120"/>
    <mergeCell ref="P120:Q120"/>
    <mergeCell ref="A119:G119"/>
    <mergeCell ref="H119:I119"/>
    <mergeCell ref="J119:K119"/>
    <mergeCell ref="L119:M119"/>
    <mergeCell ref="N119:O119"/>
    <mergeCell ref="P119:Q119"/>
    <mergeCell ref="A122:G122"/>
    <mergeCell ref="H122:I122"/>
    <mergeCell ref="J122:K122"/>
    <mergeCell ref="L122:M122"/>
    <mergeCell ref="N122:O122"/>
    <mergeCell ref="P122:Q122"/>
    <mergeCell ref="A121:G121"/>
    <mergeCell ref="H121:I121"/>
    <mergeCell ref="J121:K121"/>
    <mergeCell ref="L121:M121"/>
    <mergeCell ref="N121:O121"/>
    <mergeCell ref="P121:Q121"/>
    <mergeCell ref="A124:G124"/>
    <mergeCell ref="H124:I124"/>
    <mergeCell ref="J124:K124"/>
    <mergeCell ref="L124:M124"/>
    <mergeCell ref="N124:O124"/>
    <mergeCell ref="P124:Q124"/>
    <mergeCell ref="A123:G123"/>
    <mergeCell ref="H123:I123"/>
    <mergeCell ref="J123:K123"/>
    <mergeCell ref="L123:M123"/>
    <mergeCell ref="N123:O123"/>
    <mergeCell ref="P123:Q123"/>
    <mergeCell ref="A127:Q127"/>
    <mergeCell ref="A128:Q128"/>
    <mergeCell ref="A129:Q129"/>
    <mergeCell ref="A130:G131"/>
    <mergeCell ref="H130:Q130"/>
    <mergeCell ref="H131:Q131"/>
    <mergeCell ref="A125:L125"/>
    <mergeCell ref="M125:O125"/>
    <mergeCell ref="P125:Q125"/>
    <mergeCell ref="A126:I126"/>
    <mergeCell ref="J126:N126"/>
    <mergeCell ref="P126:Q126"/>
    <mergeCell ref="A136:R136"/>
    <mergeCell ref="A137:R137"/>
    <mergeCell ref="A138:R138"/>
    <mergeCell ref="A139:P139"/>
    <mergeCell ref="Q139:R139"/>
    <mergeCell ref="A141:C141"/>
    <mergeCell ref="A132:R132"/>
    <mergeCell ref="A133:K135"/>
    <mergeCell ref="L133:R133"/>
    <mergeCell ref="L134:P134"/>
    <mergeCell ref="Q134:R134"/>
    <mergeCell ref="L135:P135"/>
    <mergeCell ref="Q135:R135"/>
  </mergeCells>
  <conditionalFormatting sqref="L35 P35 N35">
    <cfRule type="expression" dxfId="9" priority="4">
      <formula>$K$35&gt;70</formula>
    </cfRule>
  </conditionalFormatting>
  <conditionalFormatting sqref="R35">
    <cfRule type="expression" dxfId="8" priority="3">
      <formula>$K$35&gt;70</formula>
    </cfRule>
  </conditionalFormatting>
  <conditionalFormatting sqref="I27:R27">
    <cfRule type="expression" dxfId="7" priority="1">
      <formula>L12="Y"</formula>
    </cfRule>
    <cfRule type="expression" dxfId="6" priority="2">
      <formula>K12="Y"</formula>
    </cfRule>
  </conditionalFormatting>
  <dataValidations count="13">
    <dataValidation type="list" operator="equal" allowBlank="1" showInputMessage="1" showErrorMessage="1" sqref="J9 K12:L12 K22:L22 K14:L17 K19:L20" xr:uid="{F93647D4-06E6-4716-9A34-0052B6C27BE3}">
      <formula1>"Y,N"</formula1>
    </dataValidation>
    <dataValidation type="list" operator="equal" allowBlank="1" showInputMessage="1" showErrorMessage="1" sqref="R118:R124 N118:O121 N123:O124 N102:O105 N107:O108 C53:C56" xr:uid="{DC6E05D2-8848-4370-9A84-07B9D953E600}">
      <formula1>"Y"</formula1>
    </dataValidation>
    <dataValidation type="whole" operator="greaterThanOrEqual" allowBlank="1" showInputMessage="1" showErrorMessage="1" sqref="K13:L13 I34:J34 P53:P56 G53:G57 J53:J56 M53:M57" xr:uid="{F0FAD3D2-1C4B-45B0-95C8-60110BF03B37}">
      <formula1>0</formula1>
    </dataValidation>
    <dataValidation type="list" allowBlank="1" showInputMessage="1" showErrorMessage="1" sqref="K23:L24 K26:L26" xr:uid="{5D2C50E8-A93D-45A4-8020-2C191B665E21}">
      <formula1>"Y,N,NA"</formula1>
    </dataValidation>
    <dataValidation type="decimal" operator="greaterThanOrEqual" allowBlank="1" showInputMessage="1" showErrorMessage="1" sqref="H53:H56 N53:N56" xr:uid="{AF9BEAC2-0623-4F9B-9A69-28CA76314760}">
      <formula1>0</formula1>
    </dataValidation>
    <dataValidation type="list" allowBlank="1" showInputMessage="1" showErrorMessage="1" sqref="E53:F56" xr:uid="{27716E08-80EA-4F9D-971D-D627A8C89895}">
      <formula1>"P,F"</formula1>
    </dataValidation>
    <dataValidation type="list" allowBlank="1" showInputMessage="1" showErrorMessage="1" sqref="L53:L57 R53:R57" xr:uid="{777281D2-2907-404A-850B-7282BB8C8C61}">
      <formula1>"A,U"</formula1>
    </dataValidation>
    <dataValidation type="list" allowBlank="1" showInputMessage="1" showErrorMessage="1" sqref="L35 N35 P35 R35" xr:uid="{E6E3FA57-1AF5-4759-B1A0-EBC3DE9F9FBA}">
      <formula1>"Y, N"</formula1>
    </dataValidation>
    <dataValidation type="list" operator="greaterThanOrEqual" allowBlank="1" showInputMessage="1" showErrorMessage="1" sqref="K53:K57 Q53:Q57" xr:uid="{2E3F1089-6C6D-4690-AF00-A71CFB6E681C}">
      <formula1>"400, 225, 200, 25"</formula1>
    </dataValidation>
    <dataValidation type="list" operator="equal" allowBlank="1" showInputMessage="1" showErrorMessage="1" sqref="K21:L21" xr:uid="{BCC6B7C7-D6BB-4067-8F61-797E2C051C12}">
      <formula1>"Y,N,NA"</formula1>
    </dataValidation>
    <dataValidation type="list" allowBlank="1" showInputMessage="1" showErrorMessage="1" sqref="O110" xr:uid="{E5EEBA74-D42C-4E87-99C7-6301F62FDE7D}">
      <formula1>$L$71:$L$87</formula1>
    </dataValidation>
    <dataValidation type="decimal" allowBlank="1" showInputMessage="1" showErrorMessage="1" sqref="K36:K40 M36:M40 O36:O40 Q36:Q40" xr:uid="{BE65655F-5691-41BE-9B0C-E94B4879605B}">
      <formula1>-1000</formula1>
      <formula2>1000</formula2>
    </dataValidation>
    <dataValidation type="list" operator="greaterThanOrEqual" allowBlank="1" showInputMessage="1" showErrorMessage="1" sqref="D53:D56" xr:uid="{4EBF8141-BFB8-4C64-942F-09EDC558091D}">
      <formula1>"1,2"</formula1>
    </dataValidation>
  </dataValidations>
  <printOptions gridLines="1"/>
  <pageMargins left="0.7" right="0.7" top="0.75" bottom="0.75" header="0.3" footer="0.3"/>
  <pageSetup scale="99" fitToHeight="3" orientation="portrait" horizontalDpi="4294967293" verticalDpi="4294967293" r:id="rId1"/>
  <rowBreaks count="2" manualBreakCount="2">
    <brk id="44" max="16383" man="1"/>
    <brk id="91" max="16383" man="1"/>
  </rowBreaks>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CEA308-68C3-45D5-9B33-619250844789}">
  <dimension ref="B1:BZ22"/>
  <sheetViews>
    <sheetView zoomScale="145" zoomScaleNormal="145" workbookViewId="0">
      <selection activeCell="L9" sqref="L9:M9"/>
    </sheetView>
  </sheetViews>
  <sheetFormatPr defaultRowHeight="14.4"/>
  <cols>
    <col min="1" max="46" width="2.5546875" customWidth="1"/>
    <col min="47" max="47" width="3.5546875" customWidth="1"/>
    <col min="48" max="92" width="2.5546875" customWidth="1"/>
  </cols>
  <sheetData>
    <row r="1" spans="2:78" ht="24.75" customHeight="1">
      <c r="B1" s="656" t="s">
        <v>630</v>
      </c>
      <c r="C1" s="656"/>
      <c r="D1" s="656"/>
      <c r="E1" s="656"/>
      <c r="F1" s="656"/>
      <c r="G1" s="656"/>
      <c r="H1" s="656"/>
      <c r="I1" s="656"/>
      <c r="J1" s="656"/>
      <c r="K1" s="656"/>
      <c r="L1" s="656"/>
      <c r="M1" s="656"/>
      <c r="N1" s="656"/>
      <c r="O1" s="656"/>
      <c r="P1" s="656"/>
      <c r="Q1" s="656"/>
      <c r="R1" s="656"/>
      <c r="S1" s="656"/>
      <c r="T1" s="656"/>
      <c r="U1" s="656"/>
      <c r="V1" s="656"/>
      <c r="W1" s="656"/>
      <c r="X1" s="656"/>
      <c r="Y1" s="656"/>
      <c r="Z1" s="656"/>
      <c r="AA1" s="656"/>
      <c r="AB1" s="656"/>
      <c r="AC1" s="656"/>
      <c r="AD1" s="656"/>
      <c r="AE1" s="656"/>
      <c r="AF1" s="656"/>
      <c r="AG1" s="656"/>
      <c r="AH1" s="656"/>
      <c r="AI1" s="656"/>
      <c r="AJ1" s="656"/>
      <c r="AK1" s="656"/>
    </row>
    <row r="2" spans="2:78" ht="21">
      <c r="B2" s="670" t="s">
        <v>1484</v>
      </c>
      <c r="C2" s="670"/>
      <c r="D2" s="670"/>
      <c r="E2" s="670"/>
      <c r="F2" s="670"/>
      <c r="G2" s="670"/>
      <c r="H2" s="670"/>
      <c r="I2" s="670"/>
      <c r="J2" s="670"/>
      <c r="K2" s="670"/>
      <c r="L2" s="670"/>
      <c r="M2" s="670"/>
      <c r="N2" s="670"/>
      <c r="O2" s="670"/>
      <c r="P2" s="670"/>
      <c r="Q2" s="670"/>
      <c r="R2" s="670"/>
      <c r="S2" s="670"/>
      <c r="T2" s="670"/>
      <c r="U2" s="670"/>
      <c r="V2" s="670"/>
      <c r="W2" s="670"/>
      <c r="X2" s="670"/>
      <c r="Y2" s="670"/>
      <c r="Z2" s="670"/>
      <c r="AA2" s="670"/>
      <c r="AB2" s="670"/>
      <c r="AC2" s="670"/>
      <c r="AD2" s="670"/>
      <c r="AE2" s="670"/>
      <c r="AF2" s="670"/>
      <c r="AG2" s="670"/>
      <c r="AH2" s="670"/>
      <c r="AI2" s="670"/>
      <c r="AJ2" s="670"/>
      <c r="AK2" s="670"/>
    </row>
    <row r="3" spans="2:78" ht="5.25" customHeight="1" thickBot="1">
      <c r="B3" s="1915"/>
      <c r="C3" s="1915"/>
      <c r="D3" s="1915"/>
      <c r="E3" s="1915"/>
      <c r="F3" s="1915"/>
      <c r="G3" s="1915"/>
      <c r="H3" s="1915"/>
      <c r="I3" s="1915"/>
      <c r="J3" s="1915"/>
      <c r="K3" s="1915"/>
      <c r="L3" s="1915"/>
      <c r="M3" s="1915"/>
      <c r="N3" s="1915"/>
      <c r="O3" s="1915"/>
      <c r="P3" s="1915"/>
      <c r="Q3" s="1915"/>
      <c r="R3" s="1915"/>
      <c r="S3" s="1915"/>
      <c r="T3" s="1915"/>
      <c r="U3" s="1915"/>
      <c r="V3" s="1915"/>
      <c r="W3" s="1915"/>
      <c r="X3" s="1915"/>
      <c r="Y3" s="1915"/>
      <c r="Z3" s="1915"/>
      <c r="AA3" s="1915"/>
      <c r="AB3" s="1915"/>
      <c r="AC3" s="1915"/>
      <c r="AD3" s="1915"/>
      <c r="AE3" s="1915"/>
      <c r="AF3" s="1915"/>
      <c r="AG3" s="1915"/>
      <c r="AH3" s="1915"/>
      <c r="AI3" s="1915"/>
      <c r="AJ3" s="1915"/>
      <c r="AK3" s="1915"/>
    </row>
    <row r="4" spans="2:78" ht="15.75" customHeight="1">
      <c r="B4" s="1916" t="s">
        <v>0</v>
      </c>
      <c r="C4" s="1917"/>
      <c r="D4" s="1917"/>
      <c r="E4" s="1917"/>
      <c r="F4" s="1917"/>
      <c r="G4" s="1917"/>
      <c r="H4" s="1917"/>
      <c r="I4" s="1917"/>
      <c r="J4" s="1917"/>
      <c r="K4" s="1917"/>
      <c r="L4" s="1917"/>
      <c r="M4" s="1917"/>
      <c r="N4" s="1917"/>
      <c r="O4" s="1917"/>
      <c r="P4" s="1917"/>
      <c r="Q4" s="1917"/>
      <c r="R4" s="1917"/>
      <c r="S4" s="1917"/>
      <c r="T4" s="1917"/>
      <c r="U4" s="1917"/>
      <c r="V4" s="1917"/>
      <c r="W4" s="1917"/>
      <c r="X4" s="1917"/>
      <c r="Y4" s="1917"/>
      <c r="Z4" s="1917"/>
      <c r="AA4" s="1917"/>
      <c r="AB4" s="1917"/>
      <c r="AC4" s="1917"/>
      <c r="AD4" s="1917"/>
      <c r="AE4" s="1917"/>
      <c r="AF4" s="1917"/>
      <c r="AG4" s="1917"/>
      <c r="AH4" s="1917"/>
      <c r="AI4" s="1917"/>
      <c r="AJ4" s="1917"/>
      <c r="AK4" s="1918"/>
      <c r="AL4" s="500"/>
    </row>
    <row r="5" spans="2:78" s="2" customFormat="1" ht="24" customHeight="1" thickBot="1">
      <c r="B5" s="1919" t="s">
        <v>1478</v>
      </c>
      <c r="C5" s="1920"/>
      <c r="D5" s="1920"/>
      <c r="E5" s="1921"/>
      <c r="F5" s="1921"/>
      <c r="G5" s="1921"/>
      <c r="H5" s="1921"/>
      <c r="I5" s="1921"/>
      <c r="J5" s="1921"/>
      <c r="K5" s="1921"/>
      <c r="L5" s="1921"/>
      <c r="M5" s="1920" t="s">
        <v>1479</v>
      </c>
      <c r="N5" s="1920"/>
      <c r="O5" s="1920"/>
      <c r="P5" s="1921"/>
      <c r="Q5" s="1921"/>
      <c r="R5" s="1921"/>
      <c r="S5" s="1921"/>
      <c r="T5" s="1921"/>
      <c r="U5" s="1921"/>
      <c r="V5" s="1921"/>
      <c r="W5" s="1921"/>
      <c r="X5" s="1921"/>
      <c r="Y5" s="1920" t="s">
        <v>1480</v>
      </c>
      <c r="Z5" s="1920"/>
      <c r="AA5" s="1921"/>
      <c r="AB5" s="1921"/>
      <c r="AC5" s="1921"/>
      <c r="AD5" s="1921"/>
      <c r="AE5" s="1921"/>
      <c r="AF5" s="512" t="s">
        <v>1</v>
      </c>
      <c r="AG5" s="1920" t="s">
        <v>1481</v>
      </c>
      <c r="AH5" s="1920"/>
      <c r="AI5" s="1922"/>
      <c r="AJ5" s="1922"/>
      <c r="AK5" s="1923"/>
      <c r="AL5" s="501"/>
    </row>
    <row r="6" spans="2:78" ht="6" customHeight="1" thickBot="1">
      <c r="B6" s="1927"/>
      <c r="C6" s="1927"/>
      <c r="D6" s="1927"/>
      <c r="E6" s="1927"/>
      <c r="F6" s="1927"/>
      <c r="G6" s="1927"/>
      <c r="H6" s="1927"/>
      <c r="I6" s="1927"/>
      <c r="J6" s="1927"/>
      <c r="K6" s="1927"/>
      <c r="L6" s="1927"/>
      <c r="M6" s="1927"/>
      <c r="N6" s="1927"/>
      <c r="O6" s="1927"/>
      <c r="P6" s="1927"/>
      <c r="Q6" s="1927"/>
      <c r="R6" s="1927"/>
      <c r="S6" s="1927"/>
      <c r="T6" s="1927"/>
      <c r="U6" s="1927"/>
      <c r="V6" s="1927"/>
      <c r="W6" s="1927"/>
      <c r="X6" s="1927"/>
      <c r="Y6" s="1927"/>
      <c r="Z6" s="1927"/>
      <c r="AA6" s="1927"/>
      <c r="AB6" s="1927"/>
      <c r="AC6" s="1927"/>
      <c r="AD6" s="1927"/>
      <c r="AE6" s="1927"/>
      <c r="AF6" s="1927"/>
      <c r="AG6" s="1927"/>
      <c r="AH6" s="1927"/>
      <c r="AI6" s="1927"/>
      <c r="AJ6" s="1927"/>
      <c r="AK6" s="1927"/>
      <c r="AL6" s="502"/>
    </row>
    <row r="7" spans="2:78" s="2" customFormat="1" ht="15" customHeight="1">
      <c r="B7" s="1916" t="s">
        <v>1105</v>
      </c>
      <c r="C7" s="1917"/>
      <c r="D7" s="1917"/>
      <c r="E7" s="1917"/>
      <c r="F7" s="1917"/>
      <c r="G7" s="1917"/>
      <c r="H7" s="1917"/>
      <c r="I7" s="1917"/>
      <c r="J7" s="1917"/>
      <c r="K7" s="1917"/>
      <c r="L7" s="1917"/>
      <c r="M7" s="1917"/>
      <c r="N7" s="1917"/>
      <c r="O7" s="1917"/>
      <c r="P7" s="1917"/>
      <c r="Q7" s="1917"/>
      <c r="R7" s="1917"/>
      <c r="S7" s="1917"/>
      <c r="T7" s="1917"/>
      <c r="U7" s="1917"/>
      <c r="V7" s="1917"/>
      <c r="W7" s="1917"/>
      <c r="X7" s="1917"/>
      <c r="Y7" s="1917"/>
      <c r="Z7" s="1917"/>
      <c r="AA7" s="1917"/>
      <c r="AB7" s="1917"/>
      <c r="AC7" s="1917"/>
      <c r="AD7" s="1917"/>
      <c r="AE7" s="1917"/>
      <c r="AF7" s="1917"/>
      <c r="AG7" s="1917"/>
      <c r="AH7" s="1917"/>
      <c r="AI7" s="1917"/>
      <c r="AJ7" s="1917"/>
      <c r="AK7" s="1918"/>
      <c r="AL7" s="502"/>
      <c r="AN7" s="1"/>
      <c r="AO7" s="1"/>
      <c r="AP7" s="1"/>
      <c r="AQ7" s="1"/>
      <c r="AR7" s="1"/>
      <c r="AS7" s="503"/>
      <c r="AT7" s="503"/>
      <c r="AU7" s="503"/>
      <c r="AV7" s="504"/>
      <c r="AW7" s="504"/>
      <c r="AX7" s="504"/>
      <c r="AY7" s="504"/>
      <c r="AZ7" s="504"/>
      <c r="BA7" s="503"/>
      <c r="BB7" s="503"/>
      <c r="BC7" s="503"/>
      <c r="BD7" s="504"/>
      <c r="BE7" s="504"/>
      <c r="BF7" s="504"/>
      <c r="BG7" s="504"/>
      <c r="BH7" s="504"/>
      <c r="BI7" s="503"/>
      <c r="BJ7" s="503"/>
      <c r="BK7" s="503"/>
    </row>
    <row r="8" spans="2:78" s="2" customFormat="1" ht="24" hidden="1" customHeight="1" thickBot="1">
      <c r="B8" s="1928" t="s">
        <v>1106</v>
      </c>
      <c r="C8" s="1929"/>
      <c r="D8" s="1930" t="s">
        <v>1107</v>
      </c>
      <c r="E8" s="1930"/>
      <c r="F8" s="1930"/>
      <c r="G8" s="1930"/>
      <c r="H8" s="1930"/>
      <c r="I8" s="1930"/>
      <c r="J8" s="1930"/>
      <c r="K8" s="1930"/>
      <c r="L8" s="1931" t="s">
        <v>1108</v>
      </c>
      <c r="M8" s="1931"/>
      <c r="N8" s="1931"/>
      <c r="O8" s="1932"/>
      <c r="P8" s="1932"/>
      <c r="Q8" s="1933" t="s">
        <v>1109</v>
      </c>
      <c r="R8" s="1933"/>
      <c r="S8" s="1933"/>
      <c r="T8" s="1933"/>
      <c r="U8" s="1933"/>
      <c r="V8" s="1934"/>
      <c r="W8" s="1934"/>
      <c r="X8" s="1934"/>
      <c r="Y8" s="1924"/>
      <c r="Z8" s="1924"/>
      <c r="AA8" s="1924"/>
      <c r="AB8" s="1924"/>
      <c r="AC8" s="1924"/>
      <c r="AD8" s="1924"/>
      <c r="AE8" s="1924"/>
      <c r="AF8" s="1924"/>
      <c r="AG8" s="1924"/>
      <c r="AH8" s="1924"/>
      <c r="AI8" s="1924"/>
      <c r="AJ8" s="1924"/>
      <c r="AK8" s="1925"/>
      <c r="AL8" s="505"/>
      <c r="AN8" s="1"/>
      <c r="AO8" s="1"/>
      <c r="AP8" s="1"/>
      <c r="AQ8" s="1"/>
      <c r="AR8" s="1"/>
      <c r="AS8" s="503"/>
      <c r="AT8" s="503"/>
      <c r="AU8" s="503"/>
      <c r="AV8" s="504"/>
      <c r="AW8" s="504"/>
      <c r="AX8" s="504"/>
      <c r="AY8" s="504"/>
      <c r="AZ8" s="504"/>
      <c r="BA8" s="503"/>
      <c r="BB8" s="503"/>
      <c r="BC8" s="503"/>
      <c r="BD8" s="504"/>
      <c r="BE8" s="504"/>
      <c r="BF8" s="504"/>
      <c r="BG8" s="504"/>
      <c r="BH8" s="504"/>
      <c r="BI8" s="503"/>
      <c r="BJ8" s="503"/>
      <c r="BK8" s="503"/>
    </row>
    <row r="9" spans="2:78" s="2" customFormat="1" ht="24" customHeight="1" thickBot="1">
      <c r="B9" s="1919" t="s">
        <v>1476</v>
      </c>
      <c r="C9" s="1920"/>
      <c r="D9" s="1920"/>
      <c r="E9" s="1920"/>
      <c r="F9" s="1920"/>
      <c r="G9" s="1920"/>
      <c r="H9" s="1920"/>
      <c r="I9" s="1920"/>
      <c r="J9" s="1920"/>
      <c r="K9" s="1920"/>
      <c r="L9" s="1926"/>
      <c r="M9" s="1926"/>
      <c r="N9" s="1935" t="s">
        <v>1487</v>
      </c>
      <c r="O9" s="1935"/>
      <c r="P9" s="1935"/>
      <c r="Q9" s="1935"/>
      <c r="R9" s="1935"/>
      <c r="S9" s="1935"/>
      <c r="T9" s="1935"/>
      <c r="U9" s="1935"/>
      <c r="V9" s="1935"/>
      <c r="W9" s="1935"/>
      <c r="X9" s="1935"/>
      <c r="Y9" s="1935"/>
      <c r="Z9" s="1935"/>
      <c r="AA9" s="1935"/>
      <c r="AB9" s="1935"/>
      <c r="AC9" s="1935"/>
      <c r="AD9" s="1935"/>
      <c r="AE9" s="1936"/>
      <c r="AF9" s="1936"/>
      <c r="AG9" s="1937"/>
      <c r="AH9" s="1937"/>
      <c r="AI9" s="1937"/>
      <c r="AJ9" s="1937"/>
      <c r="AK9" s="1938"/>
      <c r="AL9" s="505"/>
      <c r="AP9" s="1"/>
      <c r="AQ9" s="1"/>
      <c r="AR9" s="1"/>
      <c r="AS9" s="503"/>
      <c r="AT9" s="503"/>
      <c r="AU9" s="503"/>
      <c r="AV9" s="504"/>
      <c r="AW9" s="504"/>
      <c r="AX9" s="504"/>
      <c r="AY9" s="504"/>
      <c r="AZ9" s="504"/>
      <c r="BA9" s="503"/>
      <c r="BB9" s="503"/>
      <c r="BC9" s="503"/>
      <c r="BD9" s="504"/>
      <c r="BE9" s="504"/>
      <c r="BF9" s="504"/>
      <c r="BG9" s="504"/>
      <c r="BH9" s="504"/>
      <c r="BI9" s="503"/>
      <c r="BJ9" s="503"/>
      <c r="BK9" s="503"/>
    </row>
    <row r="10" spans="2:78" ht="5.25" customHeight="1" thickBot="1">
      <c r="B10" s="661"/>
      <c r="C10" s="661"/>
      <c r="D10" s="661"/>
      <c r="E10" s="661"/>
      <c r="F10" s="661"/>
      <c r="G10" s="661"/>
      <c r="H10" s="661"/>
      <c r="I10" s="661"/>
      <c r="J10" s="661"/>
      <c r="K10" s="661"/>
      <c r="L10" s="661"/>
      <c r="M10" s="661"/>
      <c r="N10" s="661"/>
      <c r="O10" s="661"/>
      <c r="P10" s="661"/>
      <c r="Q10" s="661"/>
      <c r="R10" s="661"/>
      <c r="S10" s="661"/>
      <c r="T10" s="661"/>
      <c r="U10" s="661"/>
      <c r="V10" s="661"/>
      <c r="W10" s="661"/>
      <c r="X10" s="661"/>
      <c r="Y10" s="661"/>
      <c r="Z10" s="661"/>
      <c r="AA10" s="661"/>
      <c r="AB10" s="661"/>
      <c r="AC10" s="661"/>
      <c r="AD10" s="661"/>
      <c r="AE10" s="661"/>
      <c r="AF10" s="661"/>
      <c r="AG10" s="661"/>
      <c r="AH10" s="661"/>
      <c r="AI10" s="661"/>
      <c r="AJ10" s="661"/>
      <c r="AK10" s="661"/>
    </row>
    <row r="11" spans="2:78" ht="15.75" customHeight="1">
      <c r="B11" s="1916" t="s">
        <v>1110</v>
      </c>
      <c r="C11" s="1917"/>
      <c r="D11" s="1917"/>
      <c r="E11" s="1917"/>
      <c r="F11" s="1917"/>
      <c r="G11" s="1917"/>
      <c r="H11" s="1917"/>
      <c r="I11" s="1917"/>
      <c r="J11" s="1917"/>
      <c r="K11" s="1917"/>
      <c r="L11" s="1917"/>
      <c r="M11" s="1917"/>
      <c r="N11" s="1917"/>
      <c r="O11" s="1917"/>
      <c r="P11" s="1917"/>
      <c r="Q11" s="1917"/>
      <c r="R11" s="1917"/>
      <c r="S11" s="1917"/>
      <c r="T11" s="1917"/>
      <c r="U11" s="1917"/>
      <c r="V11" s="1917"/>
      <c r="W11" s="1917"/>
      <c r="X11" s="1917"/>
      <c r="Y11" s="1917"/>
      <c r="Z11" s="1917"/>
      <c r="AA11" s="1917"/>
      <c r="AB11" s="1917"/>
      <c r="AC11" s="1917"/>
      <c r="AD11" s="1917"/>
      <c r="AE11" s="1917"/>
      <c r="AF11" s="1917"/>
      <c r="AG11" s="1917"/>
      <c r="AH11" s="1917"/>
      <c r="AI11" s="1917"/>
      <c r="AJ11" s="1917"/>
      <c r="AK11" s="1918"/>
      <c r="AL11" s="500"/>
      <c r="AM11" s="303"/>
      <c r="AN11" s="303"/>
      <c r="AO11" s="303"/>
    </row>
    <row r="12" spans="2:78" ht="30" customHeight="1">
      <c r="B12" s="1965" t="s">
        <v>1482</v>
      </c>
      <c r="C12" s="1966"/>
      <c r="D12" s="1966"/>
      <c r="E12" s="1966"/>
      <c r="F12" s="1966"/>
      <c r="G12" s="1966"/>
      <c r="H12" s="1966"/>
      <c r="I12" s="1966"/>
      <c r="J12" s="1966"/>
      <c r="K12" s="1966"/>
      <c r="L12" s="1966"/>
      <c r="M12" s="1966"/>
      <c r="N12" s="1966"/>
      <c r="O12" s="1966"/>
      <c r="P12" s="1966"/>
      <c r="Q12" s="1966"/>
      <c r="R12" s="1966"/>
      <c r="S12" s="1966"/>
      <c r="T12" s="1966"/>
      <c r="U12" s="1966"/>
      <c r="V12" s="1966"/>
      <c r="W12" s="1966"/>
      <c r="X12" s="1966"/>
      <c r="Y12" s="1966"/>
      <c r="Z12" s="1966"/>
      <c r="AA12" s="1966"/>
      <c r="AB12" s="1966"/>
      <c r="AC12" s="1966"/>
      <c r="AD12" s="1966"/>
      <c r="AE12" s="1966"/>
      <c r="AF12" s="1966"/>
      <c r="AG12" s="1966"/>
      <c r="AH12" s="1966"/>
      <c r="AI12" s="1966"/>
      <c r="AJ12" s="1966"/>
      <c r="AK12" s="1967"/>
      <c r="AL12" s="506"/>
      <c r="AM12" s="303"/>
      <c r="AN12" s="303"/>
      <c r="AO12" s="303"/>
      <c r="AQ12" s="318"/>
      <c r="AR12" s="318"/>
      <c r="AS12" s="318"/>
      <c r="AT12" s="318"/>
      <c r="AU12" s="318"/>
      <c r="AV12" s="318"/>
      <c r="AW12" s="318"/>
      <c r="AX12" s="318"/>
      <c r="AY12" s="318"/>
      <c r="AZ12" s="318"/>
      <c r="BA12" s="318"/>
      <c r="BB12" s="318"/>
      <c r="BC12" s="318"/>
      <c r="BD12" s="318"/>
      <c r="BE12" s="318"/>
      <c r="BF12" s="318"/>
      <c r="BG12" s="318"/>
      <c r="BH12" s="318"/>
      <c r="BI12" s="318"/>
      <c r="BJ12" s="318"/>
      <c r="BK12" s="318"/>
      <c r="BL12" s="318"/>
      <c r="BM12" s="318"/>
      <c r="BN12" s="318"/>
      <c r="BO12" s="318"/>
      <c r="BP12" s="318"/>
      <c r="BQ12" s="318"/>
      <c r="BR12" s="318"/>
      <c r="BS12" s="318"/>
      <c r="BT12" s="318"/>
      <c r="BU12" s="318"/>
      <c r="BV12" s="318"/>
      <c r="BW12" s="318"/>
      <c r="BX12" s="318"/>
      <c r="BY12" s="318"/>
      <c r="BZ12" s="318"/>
    </row>
    <row r="13" spans="2:78" s="507" customFormat="1" ht="13.8">
      <c r="B13" s="1963" t="s">
        <v>1477</v>
      </c>
      <c r="C13" s="1964"/>
      <c r="D13" s="1964"/>
      <c r="E13" s="1964"/>
      <c r="F13" s="1964"/>
      <c r="G13" s="1964"/>
      <c r="H13" s="1964"/>
      <c r="I13" s="1964"/>
      <c r="J13" s="1964"/>
      <c r="K13" s="1941" t="str">
        <f>IF(OR(ISBLANK(L9),ISBLANK(AE9)),"",-SUM(Dashboard_FS!U25:U38))</f>
        <v/>
      </c>
      <c r="L13" s="1941"/>
      <c r="M13" s="1941"/>
      <c r="N13" s="1941"/>
      <c r="O13" s="1941"/>
      <c r="P13" s="1970"/>
      <c r="Q13" s="1970"/>
      <c r="R13" s="1970"/>
      <c r="S13" s="1970"/>
      <c r="T13" s="1970"/>
      <c r="U13" s="1970"/>
      <c r="V13" s="1970"/>
      <c r="W13" s="1970"/>
      <c r="X13" s="1970"/>
      <c r="Y13" s="1970"/>
      <c r="Z13" s="1970"/>
      <c r="AA13" s="1970"/>
      <c r="AB13" s="1970"/>
      <c r="AC13" s="1970"/>
      <c r="AD13" s="1970"/>
      <c r="AE13" s="1970"/>
      <c r="AF13" s="1970"/>
      <c r="AG13" s="1970"/>
      <c r="AH13" s="1970"/>
      <c r="AI13" s="1970"/>
      <c r="AJ13" s="1970"/>
      <c r="AK13" s="1971"/>
      <c r="AM13" s="600"/>
      <c r="AN13" s="600"/>
      <c r="AO13" s="600"/>
    </row>
    <row r="14" spans="2:78" s="507" customFormat="1" ht="15" customHeight="1" thickBot="1">
      <c r="B14" s="1963" t="s">
        <v>1111</v>
      </c>
      <c r="C14" s="1964"/>
      <c r="D14" s="1964"/>
      <c r="E14" s="1964"/>
      <c r="F14" s="1964"/>
      <c r="G14" s="1964"/>
      <c r="H14" s="1964"/>
      <c r="I14" s="1964"/>
      <c r="J14" s="1964"/>
      <c r="K14" s="1969" t="str">
        <f>IF(OR(ISBLANK(L9),ISBLANK(AE9)),"",-SUM(Dashboard_FS!X25:X38))</f>
        <v/>
      </c>
      <c r="L14" s="1969"/>
      <c r="M14" s="1969"/>
      <c r="N14" s="1969"/>
      <c r="O14" s="1969"/>
      <c r="P14" s="1970"/>
      <c r="Q14" s="1970"/>
      <c r="R14" s="1970"/>
      <c r="S14" s="1970"/>
      <c r="T14" s="1970"/>
      <c r="U14" s="1970"/>
      <c r="V14" s="1970"/>
      <c r="W14" s="1970"/>
      <c r="X14" s="1970"/>
      <c r="Y14" s="1970"/>
      <c r="Z14" s="1970"/>
      <c r="AA14" s="1970"/>
      <c r="AB14" s="1970"/>
      <c r="AC14" s="1970"/>
      <c r="AD14" s="1970"/>
      <c r="AE14" s="1970"/>
      <c r="AF14" s="1970"/>
      <c r="AG14" s="1970"/>
      <c r="AH14" s="1970"/>
      <c r="AI14" s="1970"/>
      <c r="AJ14" s="1970"/>
      <c r="AK14" s="1971"/>
      <c r="AN14" s="508"/>
    </row>
    <row r="15" spans="2:78" s="507" customFormat="1" ht="15.6" customHeight="1" thickTop="1" thickBot="1">
      <c r="B15" s="1939" t="s">
        <v>1489</v>
      </c>
      <c r="C15" s="1940"/>
      <c r="D15" s="1940"/>
      <c r="E15" s="1940"/>
      <c r="F15" s="1940"/>
      <c r="G15" s="1940"/>
      <c r="H15" s="1940"/>
      <c r="I15" s="1940"/>
      <c r="J15" s="1940"/>
      <c r="K15" s="1968" t="str">
        <f>IF(OR(ISBLANK(L9),ISBLANK(AE9)),"",K13+K14)</f>
        <v/>
      </c>
      <c r="L15" s="1968"/>
      <c r="M15" s="1968"/>
      <c r="N15" s="1968"/>
      <c r="O15" s="1968"/>
      <c r="P15" s="1972"/>
      <c r="Q15" s="1972"/>
      <c r="R15" s="1940" t="s">
        <v>1490</v>
      </c>
      <c r="S15" s="1940"/>
      <c r="T15" s="1940"/>
      <c r="U15" s="1940"/>
      <c r="V15" s="1940"/>
      <c r="W15" s="1940"/>
      <c r="X15" s="1940"/>
      <c r="Y15" s="1940"/>
      <c r="Z15" s="1940"/>
      <c r="AA15" s="1940"/>
      <c r="AB15" s="1960" t="str">
        <f>IF(OR(ISBLANK(L9),ISBLANK(AE9)),"",K15/12)</f>
        <v/>
      </c>
      <c r="AC15" s="1961"/>
      <c r="AD15" s="1961"/>
      <c r="AE15" s="1961"/>
      <c r="AF15" s="1962"/>
      <c r="AG15" s="1973"/>
      <c r="AH15" s="1973"/>
      <c r="AI15" s="1973"/>
      <c r="AJ15" s="1973"/>
      <c r="AK15" s="1974"/>
      <c r="AM15" s="599"/>
      <c r="AN15" s="599"/>
      <c r="AO15" s="599"/>
    </row>
    <row r="16" spans="2:78" s="507" customFormat="1" ht="10.5" hidden="1" customHeight="1">
      <c r="B16" s="499" t="s">
        <v>1112</v>
      </c>
      <c r="C16" s="509"/>
      <c r="D16" s="509"/>
      <c r="E16" s="509"/>
      <c r="F16" s="509"/>
      <c r="G16" s="509"/>
      <c r="H16" s="509"/>
      <c r="I16" s="510"/>
      <c r="J16" s="510"/>
      <c r="K16" s="510"/>
      <c r="L16" s="510"/>
      <c r="M16" s="510"/>
      <c r="N16" s="509"/>
      <c r="O16" s="509"/>
      <c r="P16" s="509"/>
      <c r="Q16" s="509"/>
      <c r="R16" s="509"/>
      <c r="S16" s="509"/>
      <c r="T16" s="509"/>
      <c r="U16" s="510"/>
      <c r="V16" s="510"/>
      <c r="W16" s="510"/>
      <c r="X16" s="510"/>
      <c r="Y16" s="510"/>
      <c r="Z16" s="509"/>
      <c r="AA16" s="509"/>
      <c r="AB16" s="509"/>
      <c r="AC16" s="509"/>
      <c r="AD16" s="509"/>
      <c r="AE16" s="509"/>
      <c r="AF16" s="509"/>
      <c r="AG16" s="510"/>
      <c r="AH16" s="510"/>
      <c r="AI16" s="510"/>
      <c r="AJ16" s="510"/>
      <c r="AK16" s="510"/>
    </row>
    <row r="17" spans="2:39" s="507" customFormat="1" ht="5.25" customHeight="1" thickBot="1">
      <c r="B17" s="509"/>
      <c r="C17" s="509"/>
      <c r="D17" s="509"/>
      <c r="E17" s="509"/>
      <c r="F17" s="509"/>
      <c r="G17" s="509"/>
      <c r="H17" s="509"/>
      <c r="I17" s="510"/>
      <c r="J17" s="510"/>
      <c r="K17" s="510"/>
      <c r="L17" s="510"/>
      <c r="M17" s="510"/>
      <c r="N17" s="509"/>
      <c r="O17" s="509"/>
      <c r="P17" s="509"/>
      <c r="Q17" s="509"/>
      <c r="R17" s="509"/>
      <c r="S17" s="509"/>
      <c r="T17" s="509"/>
      <c r="U17" s="510"/>
      <c r="V17" s="510"/>
      <c r="W17" s="510"/>
      <c r="X17" s="510"/>
      <c r="Y17" s="510"/>
      <c r="Z17" s="509"/>
      <c r="AA17" s="509"/>
      <c r="AB17" s="509"/>
      <c r="AC17" s="509"/>
      <c r="AD17" s="509"/>
      <c r="AE17" s="509"/>
      <c r="AF17" s="509"/>
      <c r="AG17" s="510"/>
      <c r="AH17" s="510"/>
      <c r="AI17" s="510"/>
      <c r="AJ17" s="510"/>
      <c r="AK17" s="510"/>
    </row>
    <row r="18" spans="2:39" s="507" customFormat="1" ht="15.75" customHeight="1">
      <c r="B18" s="1916" t="s">
        <v>1113</v>
      </c>
      <c r="C18" s="1917"/>
      <c r="D18" s="1917"/>
      <c r="E18" s="1917"/>
      <c r="F18" s="1917"/>
      <c r="G18" s="1917"/>
      <c r="H18" s="1917"/>
      <c r="I18" s="1917"/>
      <c r="J18" s="1917"/>
      <c r="K18" s="1917"/>
      <c r="L18" s="1917"/>
      <c r="M18" s="1917"/>
      <c r="N18" s="1917"/>
      <c r="O18" s="1917"/>
      <c r="P18" s="1917"/>
      <c r="Q18" s="1917"/>
      <c r="R18" s="1917"/>
      <c r="S18" s="1917"/>
      <c r="T18" s="1917"/>
      <c r="U18" s="1917"/>
      <c r="V18" s="1917"/>
      <c r="W18" s="1917"/>
      <c r="X18" s="1917"/>
      <c r="Y18" s="1917"/>
      <c r="Z18" s="1917"/>
      <c r="AA18" s="1917"/>
      <c r="AB18" s="1917"/>
      <c r="AC18" s="1917"/>
      <c r="AD18" s="1917"/>
      <c r="AE18" s="1917"/>
      <c r="AF18" s="1917"/>
      <c r="AG18" s="1917"/>
      <c r="AH18" s="1917"/>
      <c r="AI18" s="1917"/>
      <c r="AJ18" s="1917"/>
      <c r="AK18" s="1918"/>
    </row>
    <row r="19" spans="2:39" ht="60.6" customHeight="1">
      <c r="B19" s="1952" t="s">
        <v>1114</v>
      </c>
      <c r="C19" s="1953"/>
      <c r="D19" s="1953"/>
      <c r="E19" s="1953"/>
      <c r="F19" s="1953"/>
      <c r="G19" s="1953"/>
      <c r="H19" s="1953"/>
      <c r="I19" s="1953"/>
      <c r="J19" s="1953"/>
      <c r="K19" s="1953"/>
      <c r="L19" s="1953"/>
      <c r="M19" s="1953"/>
      <c r="N19" s="1953"/>
      <c r="O19" s="1953"/>
      <c r="P19" s="1953"/>
      <c r="Q19" s="1953"/>
      <c r="R19" s="1953"/>
      <c r="S19" s="1953"/>
      <c r="T19" s="1953"/>
      <c r="U19" s="1953"/>
      <c r="V19" s="1953"/>
      <c r="W19" s="1953"/>
      <c r="X19" s="1953"/>
      <c r="Y19" s="1953"/>
      <c r="Z19" s="1953"/>
      <c r="AA19" s="1953"/>
      <c r="AB19" s="1953"/>
      <c r="AC19" s="1953"/>
      <c r="AD19" s="1953"/>
      <c r="AE19" s="1953"/>
      <c r="AF19" s="1953"/>
      <c r="AG19" s="1953"/>
      <c r="AH19" s="1953"/>
      <c r="AI19" s="1953"/>
      <c r="AJ19" s="1953"/>
      <c r="AK19" s="1954"/>
      <c r="AL19" s="511"/>
    </row>
    <row r="20" spans="2:39" ht="28.8" customHeight="1">
      <c r="B20" s="1955" t="s">
        <v>1115</v>
      </c>
      <c r="C20" s="1956"/>
      <c r="D20" s="1956"/>
      <c r="E20" s="1956"/>
      <c r="F20" s="1956"/>
      <c r="G20" s="1956"/>
      <c r="H20" s="1956"/>
      <c r="I20" s="1956"/>
      <c r="J20" s="1956"/>
      <c r="K20" s="1956"/>
      <c r="L20" s="1956"/>
      <c r="M20" s="1956"/>
      <c r="N20" s="1956"/>
      <c r="O20" s="1956"/>
      <c r="P20" s="1956"/>
      <c r="Q20" s="1956"/>
      <c r="R20" s="1956"/>
      <c r="S20" s="1956"/>
      <c r="T20" s="1956"/>
      <c r="U20" s="1956"/>
      <c r="V20" s="1956"/>
      <c r="W20" s="1956"/>
      <c r="X20" s="1956"/>
      <c r="Y20" s="1956"/>
      <c r="Z20" s="1956"/>
      <c r="AA20" s="1956"/>
      <c r="AB20" s="1956"/>
      <c r="AC20" s="1956"/>
      <c r="AD20" s="1956"/>
      <c r="AE20" s="1956"/>
      <c r="AF20" s="1956"/>
      <c r="AG20" s="1956"/>
      <c r="AH20" s="1956"/>
      <c r="AI20" s="1956"/>
      <c r="AJ20" s="1956"/>
      <c r="AK20" s="1957"/>
      <c r="AL20" s="596"/>
      <c r="AM20" s="596"/>
    </row>
    <row r="21" spans="2:39" ht="40.5" customHeight="1">
      <c r="B21" s="766" t="s">
        <v>423</v>
      </c>
      <c r="C21" s="767"/>
      <c r="D21" s="767"/>
      <c r="E21" s="767"/>
      <c r="F21" s="767"/>
      <c r="G21" s="778"/>
      <c r="H21" s="778"/>
      <c r="I21" s="778"/>
      <c r="J21" s="778"/>
      <c r="K21" s="778"/>
      <c r="L21" s="778"/>
      <c r="M21" s="778"/>
      <c r="N21" s="778"/>
      <c r="O21" s="778"/>
      <c r="P21" s="779"/>
      <c r="Q21" s="780" t="s">
        <v>187</v>
      </c>
      <c r="R21" s="780"/>
      <c r="S21" s="780"/>
      <c r="T21" s="780"/>
      <c r="U21" s="1958"/>
      <c r="V21" s="1958"/>
      <c r="W21" s="1958"/>
      <c r="X21" s="1958"/>
      <c r="Y21" s="1958"/>
      <c r="Z21" s="1958"/>
      <c r="AA21" s="1958"/>
      <c r="AB21" s="1958"/>
      <c r="AC21" s="1958"/>
      <c r="AD21" s="1958"/>
      <c r="AE21" s="1959"/>
      <c r="AF21" s="1944" t="s">
        <v>188</v>
      </c>
      <c r="AG21" s="1944"/>
      <c r="AH21" s="1945"/>
      <c r="AI21" s="1945"/>
      <c r="AJ21" s="1945"/>
      <c r="AK21" s="1946"/>
      <c r="AL21" s="597"/>
      <c r="AM21" s="596"/>
    </row>
    <row r="22" spans="2:39" ht="40.5" customHeight="1" thickBot="1">
      <c r="B22" s="1942" t="s">
        <v>189</v>
      </c>
      <c r="C22" s="1943"/>
      <c r="D22" s="1943"/>
      <c r="E22" s="1943"/>
      <c r="F22" s="1943"/>
      <c r="G22" s="1943"/>
      <c r="H22" s="1943"/>
      <c r="I22" s="1943"/>
      <c r="J22" s="1950"/>
      <c r="K22" s="1950"/>
      <c r="L22" s="1950"/>
      <c r="M22" s="1950"/>
      <c r="N22" s="1950"/>
      <c r="O22" s="1950"/>
      <c r="P22" s="1950"/>
      <c r="Q22" s="1950"/>
      <c r="R22" s="1950"/>
      <c r="S22" s="1950"/>
      <c r="T22" s="1950"/>
      <c r="U22" s="1950"/>
      <c r="V22" s="1950"/>
      <c r="W22" s="1950"/>
      <c r="X22" s="1950"/>
      <c r="Y22" s="1950"/>
      <c r="Z22" s="1950"/>
      <c r="AA22" s="1950"/>
      <c r="AB22" s="1950"/>
      <c r="AC22" s="1950"/>
      <c r="AD22" s="1950"/>
      <c r="AE22" s="1951"/>
      <c r="AF22" s="1947" t="s">
        <v>188</v>
      </c>
      <c r="AG22" s="1947"/>
      <c r="AH22" s="1948"/>
      <c r="AI22" s="1948"/>
      <c r="AJ22" s="1948"/>
      <c r="AK22" s="1949"/>
      <c r="AL22" s="596"/>
      <c r="AM22" s="596"/>
    </row>
  </sheetData>
  <sheetProtection algorithmName="SHA-512" hashValue="uVCq3X+PIAeP55z/eaN0u/dsAwdTPz7++mi7QYGHsLJ2jdWtSJ3O27Q74ydWDQy+L145fgFb5Pobae3ouSZX+A==" saltValue="m/tDb3ECiGIyjaWzvgQwgQ==" spinCount="100000" sheet="1" selectLockedCells="1"/>
  <mergeCells count="54">
    <mergeCell ref="K15:O15"/>
    <mergeCell ref="K14:O14"/>
    <mergeCell ref="P14:AK14"/>
    <mergeCell ref="P13:AK13"/>
    <mergeCell ref="P15:Q15"/>
    <mergeCell ref="AG15:AK15"/>
    <mergeCell ref="R15:AA15"/>
    <mergeCell ref="B13:J13"/>
    <mergeCell ref="B14:J14"/>
    <mergeCell ref="B10:AK10"/>
    <mergeCell ref="B11:AK11"/>
    <mergeCell ref="B12:AK12"/>
    <mergeCell ref="B15:J15"/>
    <mergeCell ref="K13:O13"/>
    <mergeCell ref="B22:I22"/>
    <mergeCell ref="AF21:AG21"/>
    <mergeCell ref="AH21:AK21"/>
    <mergeCell ref="AF22:AG22"/>
    <mergeCell ref="AH22:AK22"/>
    <mergeCell ref="J22:AE22"/>
    <mergeCell ref="B18:AK18"/>
    <mergeCell ref="B19:AK19"/>
    <mergeCell ref="B20:AK20"/>
    <mergeCell ref="B21:F21"/>
    <mergeCell ref="U21:AE21"/>
    <mergeCell ref="G21:P21"/>
    <mergeCell ref="Q21:T21"/>
    <mergeCell ref="AB15:AF15"/>
    <mergeCell ref="Y8:AK8"/>
    <mergeCell ref="B9:K9"/>
    <mergeCell ref="L9:M9"/>
    <mergeCell ref="B6:AK6"/>
    <mergeCell ref="B7:AK7"/>
    <mergeCell ref="B8:C8"/>
    <mergeCell ref="D8:K8"/>
    <mergeCell ref="L8:N8"/>
    <mergeCell ref="O8:P8"/>
    <mergeCell ref="Q8:U8"/>
    <mergeCell ref="V8:X8"/>
    <mergeCell ref="N9:AD9"/>
    <mergeCell ref="AE9:AF9"/>
    <mergeCell ref="AG9:AK9"/>
    <mergeCell ref="B1:AK1"/>
    <mergeCell ref="B2:AK2"/>
    <mergeCell ref="B3:AK3"/>
    <mergeCell ref="B4:AK4"/>
    <mergeCell ref="B5:D5"/>
    <mergeCell ref="E5:L5"/>
    <mergeCell ref="M5:O5"/>
    <mergeCell ref="P5:X5"/>
    <mergeCell ref="Y5:Z5"/>
    <mergeCell ref="AA5:AE5"/>
    <mergeCell ref="AG5:AH5"/>
    <mergeCell ref="AI5:AK5"/>
  </mergeCells>
  <conditionalFormatting sqref="I16:I17 U16:U17 K15 AB15 AG16:AG17">
    <cfRule type="cellIs" dxfId="5" priority="8" operator="lessThan">
      <formula>0</formula>
    </cfRule>
    <cfRule type="cellIs" dxfId="4" priority="9" operator="greaterThan">
      <formula>0</formula>
    </cfRule>
  </conditionalFormatting>
  <conditionalFormatting sqref="E5:L5 P5:X5 AA5:AE5 AI5:AK5 D8:K8 O8:P8 V8:X8">
    <cfRule type="containsBlanks" dxfId="3" priority="7">
      <formula>LEN(TRIM(D5))=0</formula>
    </cfRule>
  </conditionalFormatting>
  <conditionalFormatting sqref="L9:M9">
    <cfRule type="containsBlanks" dxfId="2" priority="2">
      <formula>LEN(TRIM(L9))=0</formula>
    </cfRule>
  </conditionalFormatting>
  <conditionalFormatting sqref="AE9:AF9">
    <cfRule type="containsBlanks" dxfId="1" priority="1">
      <formula>LEN(TRIM(AE9))=0</formula>
    </cfRule>
  </conditionalFormatting>
  <pageMargins left="0.7" right="0.7" top="0.75" bottom="0.75" header="0.3" footer="0.3"/>
  <pageSetup scale="93" fitToHeight="0" orientation="portrait" horizontalDpi="1200" verticalDpi="1200"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43900A-8F78-4CB7-8AA9-704B319F393B}">
  <sheetPr>
    <tabColor rgb="FF00B0F0"/>
  </sheetPr>
  <dimension ref="A1:AE41"/>
  <sheetViews>
    <sheetView showGridLines="0" zoomScale="85" zoomScaleNormal="85" workbookViewId="0">
      <selection activeCell="H39" sqref="H39"/>
    </sheetView>
  </sheetViews>
  <sheetFormatPr defaultRowHeight="14.4"/>
  <cols>
    <col min="1" max="1" width="2.5546875" customWidth="1"/>
    <col min="2" max="2" width="15" customWidth="1"/>
    <col min="3" max="3" width="14.5546875" customWidth="1"/>
    <col min="4" max="4" width="16.44140625" customWidth="1"/>
    <col min="5" max="5" width="13.44140625" customWidth="1"/>
    <col min="6" max="6" width="34.44140625" customWidth="1"/>
    <col min="7" max="31" width="14.109375" customWidth="1"/>
  </cols>
  <sheetData>
    <row r="1" spans="2:16">
      <c r="I1" s="254"/>
      <c r="J1" s="254"/>
      <c r="K1" s="254"/>
      <c r="L1" s="254"/>
      <c r="M1" s="254"/>
      <c r="N1" s="254"/>
      <c r="O1" s="254"/>
      <c r="P1" s="254"/>
    </row>
    <row r="2" spans="2:16">
      <c r="B2" s="7" t="s">
        <v>1117</v>
      </c>
      <c r="F2" s="7" t="s">
        <v>1118</v>
      </c>
      <c r="I2" s="588"/>
      <c r="J2" s="254"/>
      <c r="K2" s="254"/>
      <c r="L2" s="254"/>
      <c r="M2" s="588"/>
      <c r="N2" s="254"/>
      <c r="O2" s="254"/>
      <c r="P2" s="254"/>
    </row>
    <row r="3" spans="2:16">
      <c r="B3" s="513" t="s">
        <v>1119</v>
      </c>
      <c r="C3" s="514"/>
      <c r="D3" s="515">
        <f>-Y39+IF(AND(ISNUMBER(MATCH("Natural Gas",$E$25:$E$38,0)),G10="Total"),G9*12,0)</f>
        <v>109.81908655406792</v>
      </c>
      <c r="F3" s="293" t="s">
        <v>1120</v>
      </c>
      <c r="G3" s="516">
        <f ca="1">TODAY()</f>
        <v>45448</v>
      </c>
      <c r="I3" s="254"/>
      <c r="J3" s="254"/>
      <c r="K3" s="592"/>
      <c r="L3" s="254"/>
      <c r="M3" s="254"/>
      <c r="N3" s="254"/>
      <c r="O3" s="589"/>
      <c r="P3" s="254"/>
    </row>
    <row r="4" spans="2:16">
      <c r="B4" s="513" t="s">
        <v>1121</v>
      </c>
      <c r="C4" s="514"/>
      <c r="D4" s="518">
        <f>-T39</f>
        <v>15710885.05780657</v>
      </c>
      <c r="F4" s="293" t="s">
        <v>1122</v>
      </c>
      <c r="G4" s="517" t="s">
        <v>1123</v>
      </c>
      <c r="I4" s="254"/>
      <c r="J4" s="254"/>
      <c r="K4" s="254"/>
      <c r="L4" s="254"/>
      <c r="M4" s="254"/>
      <c r="N4" s="254"/>
      <c r="O4" s="589"/>
      <c r="P4" s="254"/>
    </row>
    <row r="5" spans="2:16" ht="15" customHeight="1">
      <c r="B5" s="513" t="s">
        <v>1124</v>
      </c>
      <c r="C5" s="514"/>
      <c r="D5" s="518">
        <f>AB39</f>
        <v>4604.5970274931333</v>
      </c>
      <c r="F5" s="293" t="s">
        <v>1125</v>
      </c>
      <c r="G5" s="517" t="s">
        <v>1126</v>
      </c>
      <c r="I5" s="588"/>
      <c r="J5" s="254"/>
      <c r="K5" s="254"/>
      <c r="L5" s="254"/>
      <c r="M5" s="254"/>
      <c r="N5" s="254"/>
      <c r="O5" s="589"/>
      <c r="P5" s="254"/>
    </row>
    <row r="6" spans="2:16">
      <c r="B6" s="513" t="s">
        <v>418</v>
      </c>
      <c r="C6" s="514"/>
      <c r="D6" s="515">
        <f>G39</f>
        <v>0</v>
      </c>
      <c r="F6" s="293" t="s">
        <v>1127</v>
      </c>
      <c r="G6" s="519">
        <v>0.18</v>
      </c>
      <c r="H6" t="s">
        <v>1128</v>
      </c>
      <c r="I6" s="254"/>
      <c r="J6" s="254"/>
      <c r="K6" s="590"/>
      <c r="L6" s="254"/>
      <c r="M6" s="254"/>
      <c r="N6" s="254"/>
      <c r="O6" s="589"/>
      <c r="P6" s="254"/>
    </row>
    <row r="7" spans="2:16">
      <c r="B7" s="513" t="s">
        <v>1129</v>
      </c>
      <c r="C7" s="514"/>
      <c r="D7" s="521">
        <f>D6/D5</f>
        <v>0</v>
      </c>
      <c r="F7" s="293" t="s">
        <v>1130</v>
      </c>
      <c r="G7" s="519">
        <v>0.18</v>
      </c>
      <c r="H7" t="s">
        <v>1128</v>
      </c>
      <c r="I7" s="254"/>
      <c r="J7" s="254"/>
      <c r="K7" s="593"/>
      <c r="L7" s="254"/>
      <c r="M7" s="254"/>
      <c r="N7" s="254"/>
      <c r="O7" s="589"/>
      <c r="P7" s="254"/>
    </row>
    <row r="8" spans="2:16">
      <c r="B8" s="513" t="s">
        <v>1132</v>
      </c>
      <c r="C8" s="514"/>
      <c r="D8" s="522">
        <f>AE39</f>
        <v>1832.6747419931364</v>
      </c>
      <c r="F8" s="293" t="s">
        <v>31</v>
      </c>
      <c r="G8" s="519">
        <v>6.99</v>
      </c>
      <c r="H8" t="s">
        <v>1133</v>
      </c>
      <c r="I8" s="254"/>
      <c r="J8" s="254"/>
      <c r="K8" s="593"/>
      <c r="L8" s="254"/>
      <c r="M8" s="254"/>
      <c r="N8" s="254"/>
      <c r="O8" s="589"/>
      <c r="P8" s="254"/>
    </row>
    <row r="9" spans="2:16">
      <c r="F9" s="293" t="s">
        <v>1134</v>
      </c>
      <c r="G9" s="519">
        <v>19.14</v>
      </c>
      <c r="H9" t="s">
        <v>1135</v>
      </c>
      <c r="I9" s="254"/>
      <c r="J9" s="254"/>
      <c r="K9" s="589"/>
      <c r="L9" s="254"/>
      <c r="M9" s="254"/>
      <c r="N9" s="254"/>
      <c r="O9" s="589"/>
      <c r="P9" s="254"/>
    </row>
    <row r="10" spans="2:16">
      <c r="B10" s="7" t="s">
        <v>1137</v>
      </c>
      <c r="F10" s="523" t="s">
        <v>1138</v>
      </c>
      <c r="G10" s="524" t="s">
        <v>1139</v>
      </c>
      <c r="I10" s="254"/>
      <c r="J10" s="254"/>
      <c r="K10" s="589"/>
      <c r="L10" s="254"/>
      <c r="M10" s="254"/>
      <c r="N10" s="254"/>
      <c r="O10" s="589"/>
      <c r="P10" s="254"/>
    </row>
    <row r="11" spans="2:16">
      <c r="B11" s="517" t="s">
        <v>1140</v>
      </c>
      <c r="C11" s="525" t="s">
        <v>1141</v>
      </c>
      <c r="F11" s="293" t="s">
        <v>28</v>
      </c>
      <c r="G11" s="526">
        <v>2.2799999999999998</v>
      </c>
      <c r="H11" t="s">
        <v>1142</v>
      </c>
      <c r="I11" s="254"/>
      <c r="J11" s="254"/>
      <c r="K11" s="254"/>
      <c r="L11" s="254"/>
      <c r="M11" s="254"/>
      <c r="N11" s="254"/>
      <c r="O11" s="589"/>
      <c r="P11" s="254"/>
    </row>
    <row r="12" spans="2:16">
      <c r="F12" s="293" t="s">
        <v>1143</v>
      </c>
      <c r="G12" s="526">
        <v>1.58</v>
      </c>
      <c r="H12" t="s">
        <v>1142</v>
      </c>
      <c r="I12" s="588"/>
      <c r="J12" s="254"/>
      <c r="K12" s="254"/>
      <c r="L12" s="254"/>
      <c r="M12" s="254"/>
      <c r="N12" s="254"/>
      <c r="O12" s="589"/>
      <c r="P12" s="254"/>
    </row>
    <row r="13" spans="2:16">
      <c r="I13" s="254"/>
      <c r="J13" s="254"/>
      <c r="K13" s="590"/>
      <c r="L13" s="254"/>
      <c r="M13" s="254"/>
      <c r="N13" s="254"/>
      <c r="O13" s="254"/>
      <c r="P13" s="254"/>
    </row>
    <row r="14" spans="2:16">
      <c r="I14" s="254"/>
      <c r="J14" s="254"/>
      <c r="K14" s="590"/>
      <c r="L14" s="594"/>
      <c r="M14" s="588"/>
      <c r="N14" s="254"/>
      <c r="O14" s="588"/>
      <c r="P14" s="588"/>
    </row>
    <row r="15" spans="2:16">
      <c r="G15" s="527"/>
      <c r="I15" s="254"/>
      <c r="J15" s="254"/>
      <c r="K15" s="590"/>
      <c r="L15" s="254"/>
      <c r="M15" s="254"/>
      <c r="N15" s="254"/>
      <c r="O15" s="590"/>
      <c r="P15" s="590"/>
    </row>
    <row r="16" spans="2:16">
      <c r="I16" s="254"/>
      <c r="J16" s="254"/>
      <c r="K16" s="590"/>
      <c r="L16" s="254"/>
      <c r="M16" s="254"/>
      <c r="N16" s="254"/>
      <c r="O16" s="590"/>
      <c r="P16" s="590"/>
    </row>
    <row r="17" spans="1:31">
      <c r="M17" s="254"/>
      <c r="N17" s="254"/>
      <c r="O17" s="590"/>
      <c r="P17" s="590"/>
    </row>
    <row r="18" spans="1:31">
      <c r="I18" s="7" t="s">
        <v>1145</v>
      </c>
      <c r="M18" s="254"/>
      <c r="N18" s="254"/>
      <c r="O18" s="590"/>
      <c r="P18" s="590"/>
    </row>
    <row r="19" spans="1:31">
      <c r="I19" s="513" t="s">
        <v>1146</v>
      </c>
      <c r="J19" s="514"/>
      <c r="K19" s="520" t="s">
        <v>1042</v>
      </c>
      <c r="M19" s="254"/>
      <c r="N19" s="254"/>
      <c r="O19" s="591"/>
      <c r="P19" s="591"/>
    </row>
    <row r="20" spans="1:31">
      <c r="M20" s="254"/>
      <c r="N20" s="254"/>
      <c r="O20" s="591"/>
      <c r="P20" s="591"/>
    </row>
    <row r="21" spans="1:31">
      <c r="M21" s="254"/>
      <c r="N21" s="254"/>
      <c r="O21" s="591"/>
      <c r="P21" s="591"/>
      <c r="U21" s="528">
        <f>U25+V25+W25</f>
        <v>0</v>
      </c>
    </row>
    <row r="22" spans="1:31">
      <c r="B22" s="7" t="s">
        <v>1147</v>
      </c>
    </row>
    <row r="23" spans="1:31" ht="28.8">
      <c r="B23" s="529" t="s">
        <v>1148</v>
      </c>
      <c r="C23" s="529" t="s">
        <v>1149</v>
      </c>
      <c r="D23" s="530" t="s">
        <v>1150</v>
      </c>
      <c r="E23" s="529" t="s">
        <v>1151</v>
      </c>
      <c r="F23" s="529" t="s">
        <v>1152</v>
      </c>
      <c r="G23" s="531" t="s">
        <v>1153</v>
      </c>
      <c r="H23" s="532" t="s">
        <v>1154</v>
      </c>
      <c r="I23" s="533"/>
      <c r="J23" s="533"/>
      <c r="K23" s="534"/>
      <c r="L23" s="532" t="s">
        <v>1155</v>
      </c>
      <c r="M23" s="533"/>
      <c r="N23" s="533"/>
      <c r="O23" s="534"/>
      <c r="P23" s="535" t="s">
        <v>1156</v>
      </c>
      <c r="Q23" s="536"/>
      <c r="R23" s="536"/>
      <c r="S23" s="536"/>
      <c r="T23" s="537"/>
      <c r="U23" s="535" t="s">
        <v>1157</v>
      </c>
      <c r="V23" s="536"/>
      <c r="W23" s="536"/>
      <c r="X23" s="536"/>
      <c r="Y23" s="537"/>
      <c r="Z23" s="532" t="s">
        <v>1158</v>
      </c>
      <c r="AA23" s="533"/>
      <c r="AB23" s="534"/>
      <c r="AC23" s="532" t="s">
        <v>1159</v>
      </c>
      <c r="AD23" s="533"/>
      <c r="AE23" s="534"/>
    </row>
    <row r="24" spans="1:31" ht="28.8">
      <c r="B24" s="538"/>
      <c r="C24" s="538"/>
      <c r="D24" s="538"/>
      <c r="E24" s="538"/>
      <c r="F24" s="538"/>
      <c r="G24" s="538" t="s">
        <v>214</v>
      </c>
      <c r="H24" s="538" t="s">
        <v>1160</v>
      </c>
      <c r="I24" s="538" t="s">
        <v>1161</v>
      </c>
      <c r="J24" s="538" t="s">
        <v>1162</v>
      </c>
      <c r="K24" s="538" t="s">
        <v>1163</v>
      </c>
      <c r="L24" s="538" t="s">
        <v>1160</v>
      </c>
      <c r="M24" s="538" t="s">
        <v>1161</v>
      </c>
      <c r="N24" s="538" t="s">
        <v>1162</v>
      </c>
      <c r="O24" s="538" t="s">
        <v>1163</v>
      </c>
      <c r="P24" s="538" t="s">
        <v>1160</v>
      </c>
      <c r="Q24" s="538" t="s">
        <v>1161</v>
      </c>
      <c r="R24" s="538" t="s">
        <v>1162</v>
      </c>
      <c r="S24" s="538" t="s">
        <v>1163</v>
      </c>
      <c r="T24" s="538" t="s">
        <v>214</v>
      </c>
      <c r="U24" s="538" t="s">
        <v>1160</v>
      </c>
      <c r="V24" s="538" t="s">
        <v>1161</v>
      </c>
      <c r="W24" s="538" t="s">
        <v>1162</v>
      </c>
      <c r="X24" s="538" t="s">
        <v>1163</v>
      </c>
      <c r="Y24" s="538" t="s">
        <v>214</v>
      </c>
      <c r="Z24" s="538" t="s">
        <v>1160</v>
      </c>
      <c r="AA24" s="538" t="s">
        <v>1164</v>
      </c>
      <c r="AB24" s="538" t="s">
        <v>214</v>
      </c>
      <c r="AC24" s="538" t="s">
        <v>1160</v>
      </c>
      <c r="AD24" s="538" t="s">
        <v>1164</v>
      </c>
      <c r="AE24" s="538" t="s">
        <v>214</v>
      </c>
    </row>
    <row r="25" spans="1:31" hidden="1">
      <c r="A25" s="539" t="str">
        <f t="shared" ref="A25:A38" si="0">B25&amp;"_"&amp;C25&amp;"_"&amp;F25</f>
        <v>Residential_HVAC_n/a</v>
      </c>
      <c r="B25" s="293" t="s">
        <v>1165</v>
      </c>
      <c r="C25" s="293" t="s">
        <v>95</v>
      </c>
      <c r="D25" s="293" t="str">
        <f>IF(F25="n/a","n/a",INDEX([18]Backup_FS!$B$11:$I$11,MATCH($F25,[18]Backup_FS!$B$7:$I$7,0)))</f>
        <v>n/a</v>
      </c>
      <c r="E25" s="540" t="s">
        <v>31</v>
      </c>
      <c r="F25" s="540" t="str">
        <f>IF('[18]Limited Fuel Switching'!P26="Propane",IF('[18]Limited Fuel Switching'!U26="ASHP","Air-Source Heat Pump",IF('[18]Limited Fuel Switching'!U26="DHP","Ductless Heat Pump",IF('[18]Limited Fuel Switching'!U26="GSHP","Ground Source Heat Pump","n/a"))),"n/a")</f>
        <v>n/a</v>
      </c>
      <c r="G25" s="541">
        <f>'[18]Limited Fuel Switching'!AI26</f>
        <v>0</v>
      </c>
      <c r="H25" s="542">
        <f>IFERROR(INDEX([18]Algorithms_FS!$F:$F,MATCH($A25&amp;"_BTU Impact_Existing_"&amp;H$24,[18]Algorithms_FS!$A:$A,0)),0)</f>
        <v>0</v>
      </c>
      <c r="I25" s="542">
        <f>IFERROR(INDEX([18]Algorithms_FS!$F:$F,MATCH($A25&amp;"_BTU Impact_Existing_"&amp;I$24,[18]Algorithms_FS!$A:$A,0)),0)</f>
        <v>0</v>
      </c>
      <c r="J25" s="542">
        <f>IFERROR(INDEX([18]Algorithms_FS!$F:$F,MATCH($A25&amp;"_BTU Impact_Existing_"&amp;J$24,[18]Algorithms_FS!$A:$A,0)),0)</f>
        <v>0</v>
      </c>
      <c r="K25" s="542">
        <f>I25+J25</f>
        <v>0</v>
      </c>
      <c r="L25" s="542">
        <f>IFERROR(INDEX([18]Algorithms_FS!$F:$F,MATCH($A25&amp;"_BTU Impact_New_"&amp;L$24,[18]Algorithms_FS!$A:$A,0)),0)</f>
        <v>0</v>
      </c>
      <c r="M25" s="542">
        <f>IFERROR(INDEX([18]Algorithms_FS!$F:$F,MATCH($A25&amp;"_BTU Impact_New_"&amp;M$24,[18]Algorithms_FS!$A:$A,0)),0)</f>
        <v>0</v>
      </c>
      <c r="N25" s="542">
        <f>IFERROR(INDEX([18]Algorithms_FS!$F:$F,MATCH($A25&amp;"_BTU Impact_New_"&amp;N$24,[18]Algorithms_FS!$A:$A,0)),0)</f>
        <v>0</v>
      </c>
      <c r="O25" s="542">
        <f t="shared" ref="O25:O29" si="1">M25+N25</f>
        <v>0</v>
      </c>
      <c r="P25" s="542">
        <f>H25+L25</f>
        <v>0</v>
      </c>
      <c r="Q25" s="542">
        <f t="shared" ref="Q25:S38" si="2">I25+M25</f>
        <v>0</v>
      </c>
      <c r="R25" s="542">
        <f t="shared" si="2"/>
        <v>0</v>
      </c>
      <c r="S25" s="542">
        <f t="shared" si="2"/>
        <v>0</v>
      </c>
      <c r="T25" s="542">
        <f>P25+Q25+R25</f>
        <v>0</v>
      </c>
      <c r="U25" s="543">
        <f>(P25/INDEX([18]Backup_FS!$C$15:$C$18,MATCH($E25,[18]Backup_FS!$A$15:$A$18,0)))*INDEX($G$8:$G$12,MATCH($E25,$F$8:$F$12,0))</f>
        <v>0</v>
      </c>
      <c r="V25" s="543">
        <f>(Q25/INDEX([18]Backup_FS!$C$15:$C$18,MATCH("Electricity",[18]Backup_FS!$A$15:$A$18,0)))*$G$6</f>
        <v>0</v>
      </c>
      <c r="W25" s="543">
        <f>(R25/INDEX([18]Backup_FS!$C$15:$C$18,MATCH("Electricity",[18]Backup_FS!$A$15:$A$18,0)))*$G$7</f>
        <v>0</v>
      </c>
      <c r="X25" s="543">
        <f>V25+W25</f>
        <v>0</v>
      </c>
      <c r="Y25" s="543">
        <f>U25+V25+W25</f>
        <v>0</v>
      </c>
      <c r="Z25" s="542">
        <f>-P25/3412</f>
        <v>0</v>
      </c>
      <c r="AA25" s="542">
        <f>-S25/3412</f>
        <v>0</v>
      </c>
      <c r="AB25" s="542">
        <f>Z25+AA25</f>
        <v>0</v>
      </c>
      <c r="AC25" s="542">
        <f>-P25*INDEX([18]Backup_FS!$D$15:$D$18,MATCH($E25,[18]Backup_FS!$A$15:$A$18,0))</f>
        <v>0</v>
      </c>
      <c r="AD25" s="542">
        <f>-Q25*[18]Backup_FS!$D$18</f>
        <v>0</v>
      </c>
      <c r="AE25" s="542">
        <f>AC25+AD25</f>
        <v>0</v>
      </c>
    </row>
    <row r="26" spans="1:31" hidden="1">
      <c r="A26" s="539" t="str">
        <f t="shared" si="0"/>
        <v>Residential_HVAC_n/a</v>
      </c>
      <c r="B26" s="293" t="s">
        <v>1165</v>
      </c>
      <c r="C26" s="293" t="s">
        <v>95</v>
      </c>
      <c r="D26" s="293" t="str">
        <f>IF(F26="n/a","n/a",INDEX([18]Backup_FS!$B$11:$I$11,MATCH($F26,[18]Backup_FS!$B$7:$I$7,0)))</f>
        <v>n/a</v>
      </c>
      <c r="E26" s="540" t="s">
        <v>31</v>
      </c>
      <c r="F26" s="540" t="s">
        <v>1166</v>
      </c>
      <c r="G26" s="541">
        <f>IFERROR(INDEX([18]Algorithms_FS!$F:$F,MATCH($A26&amp;"_Incremental Cost",[18]Algorithms_FS!$A:$A,0)),0)</f>
        <v>0</v>
      </c>
      <c r="H26" s="542">
        <f>IFERROR(INDEX([18]Algorithms_FS!$F:$F,MATCH($A26&amp;"_BTU Impact_Existing_"&amp;H$24,[18]Algorithms_FS!$A:$A,0)),0)</f>
        <v>0</v>
      </c>
      <c r="I26" s="542">
        <f>IFERROR(INDEX([18]Algorithms_FS!$F:$F,MATCH($A26&amp;"_BTU Impact_Existing_"&amp;I$24,[18]Algorithms_FS!$A:$A,0)),0)</f>
        <v>0</v>
      </c>
      <c r="J26" s="542">
        <f>IFERROR(INDEX([18]Algorithms_FS!$F:$F,MATCH($A26&amp;"_BTU Impact_Existing_"&amp;J$24,[18]Algorithms_FS!$A:$A,0)),0)</f>
        <v>0</v>
      </c>
      <c r="K26" s="542">
        <f t="shared" ref="K26:K29" si="3">I26+J26</f>
        <v>0</v>
      </c>
      <c r="L26" s="542">
        <f>IFERROR(INDEX([18]Algorithms_FS!$F:$F,MATCH($A26&amp;"_BTU Impact_New_"&amp;L$24,[18]Algorithms_FS!$A:$A,0)),0)</f>
        <v>0</v>
      </c>
      <c r="M26" s="542">
        <f>IFERROR(INDEX([18]Algorithms_FS!$F:$F,MATCH($A26&amp;"_BTU Impact_New_"&amp;M$24,[18]Algorithms_FS!$A:$A,0)),0)</f>
        <v>0</v>
      </c>
      <c r="N26" s="542">
        <f>IFERROR(INDEX([18]Algorithms_FS!$F:$F,MATCH($A26&amp;"_BTU Impact_New_"&amp;N$24,[18]Algorithms_FS!$A:$A,0)),0)</f>
        <v>0</v>
      </c>
      <c r="O26" s="542">
        <f t="shared" si="1"/>
        <v>0</v>
      </c>
      <c r="P26" s="542">
        <f>H26+L26</f>
        <v>0</v>
      </c>
      <c r="Q26" s="542">
        <f t="shared" si="2"/>
        <v>0</v>
      </c>
      <c r="R26" s="542">
        <f t="shared" si="2"/>
        <v>0</v>
      </c>
      <c r="S26" s="542">
        <f t="shared" si="2"/>
        <v>0</v>
      </c>
      <c r="T26" s="542">
        <f>P26+Q26+R26</f>
        <v>0</v>
      </c>
      <c r="U26" s="543">
        <f>(P26/INDEX([18]Backup_FS!$C$15:$C$18,MATCH($E26,[18]Backup_FS!$A$15:$A$18,0)))*INDEX($G$8:$G$12,MATCH($E26,$F$8:$F$12,0))</f>
        <v>0</v>
      </c>
      <c r="V26" s="543">
        <f>(Q26/INDEX([18]Backup_FS!$C$15:$C$18,MATCH("Electricity",[18]Backup_FS!$A$15:$A$18,0)))*$G$6</f>
        <v>0</v>
      </c>
      <c r="W26" s="543">
        <f>(R26/INDEX([18]Backup_FS!$C$15:$C$18,MATCH("Electricity",[18]Backup_FS!$A$15:$A$18,0)))*$G$7</f>
        <v>0</v>
      </c>
      <c r="X26" s="543">
        <f>V26+W26</f>
        <v>0</v>
      </c>
      <c r="Y26" s="543">
        <f>U26+V26+W26</f>
        <v>0</v>
      </c>
      <c r="Z26" s="542">
        <f>-P26/3412</f>
        <v>0</v>
      </c>
      <c r="AA26" s="542">
        <f>-S26/3412</f>
        <v>0</v>
      </c>
      <c r="AB26" s="542">
        <f>Z26+AA26</f>
        <v>0</v>
      </c>
      <c r="AC26" s="542">
        <f>-P26*INDEX([18]Backup_FS!$D$15:$D$18,MATCH($E26,[18]Backup_FS!$A$15:$A$18,0))</f>
        <v>0</v>
      </c>
      <c r="AD26" s="542">
        <f>-Q26*[18]Backup_FS!$D$18</f>
        <v>0</v>
      </c>
      <c r="AE26" s="542">
        <f>AC26+AD26</f>
        <v>0</v>
      </c>
    </row>
    <row r="27" spans="1:31">
      <c r="A27" s="539" t="str">
        <f t="shared" si="0"/>
        <v>Residential_Hot Water_Heat Pump Water Heater</v>
      </c>
      <c r="B27" s="293" t="s">
        <v>1165</v>
      </c>
      <c r="C27" s="293" t="s">
        <v>1167</v>
      </c>
      <c r="D27" s="293" t="str">
        <f>IF(F27="n/a","n/a",INDEX([18]Backup_FS!$B$11:$I$11,MATCH($F27,[18]Backup_FS!$B$7:$I$7,0)))</f>
        <v>FF Water Heater</v>
      </c>
      <c r="E27" s="540" t="s">
        <v>31</v>
      </c>
      <c r="F27" s="540" t="str">
        <f>IF('[18]Limited Fuel Switching'!P25="Natural Gas",IF('[18]Limited Fuel Switching'!U25="Heat Pump Water Heater","Heat Pump Water Heater","n/a"),"n/a")</f>
        <v>Heat Pump Water Heater</v>
      </c>
      <c r="G27" s="541">
        <f>'[18]Limited Fuel Switching'!AI25</f>
        <v>0</v>
      </c>
      <c r="H27" s="542">
        <f>IFERROR(INDEX(Algorithms_FS!$F:$F,MATCH($A27&amp;"_BTU Impact_Existing_"&amp;H$24,Algorithms_FS!$A:$A,0)),0)</f>
        <v>-15710885.05780657</v>
      </c>
      <c r="I27" s="542">
        <f>IFERROR(INDEX(Algorithms_FS!$F:$F,MATCH($A27&amp;"_BTU Impact_Existing_"&amp;I$24,Algorithms_FS!$A:$A,0)),0)</f>
        <v>0</v>
      </c>
      <c r="J27" s="542">
        <f>IFERROR(INDEX(Algorithms_FS!$F:$F,MATCH($A27&amp;"_BTU Impact_Existing_"&amp;J$24,Algorithms_FS!$A:$A,0)),0)</f>
        <v>0</v>
      </c>
      <c r="K27" s="542">
        <f t="shared" si="3"/>
        <v>0</v>
      </c>
      <c r="L27" s="542">
        <f>IFERROR(INDEX(Algorithms_FS!$F:$F,MATCH($A27&amp;"_BTU Impact_New_"&amp;L$24,Algorithms_FS!$A:$A,0)),0)</f>
        <v>0</v>
      </c>
      <c r="M27" s="542">
        <f>IFERROR(INDEX(Algorithms_FS!$F:$F,MATCH($A27&amp;"_BTU Impact_New_"&amp;M$24,Algorithms_FS!$A:$A,0)),0)</f>
        <v>0</v>
      </c>
      <c r="N27" s="542">
        <f>IFERROR(INDEX(Algorithms_FS!$F:$F,MATCH($A27&amp;"_BTU Impact_New_"&amp;N$24,Algorithms_FS!$A:$A,0)),0)</f>
        <v>0</v>
      </c>
      <c r="O27" s="542">
        <f t="shared" si="1"/>
        <v>0</v>
      </c>
      <c r="P27" s="542">
        <f t="shared" ref="P27:P38" si="4">H27+L27</f>
        <v>-15710885.05780657</v>
      </c>
      <c r="Q27" s="542">
        <f t="shared" si="2"/>
        <v>0</v>
      </c>
      <c r="R27" s="542">
        <f t="shared" si="2"/>
        <v>0</v>
      </c>
      <c r="S27" s="542">
        <f t="shared" si="2"/>
        <v>0</v>
      </c>
      <c r="T27" s="542">
        <f t="shared" ref="T27:T38" si="5">P27+Q27+R27</f>
        <v>-15710885.05780657</v>
      </c>
      <c r="U27" s="543">
        <f>(P27/INDEX(Backup_FS!$C$15:$C$18,MATCH($E27,Backup_FS!$A$15:$A$18,0)))*INDEX($G$8:$G$12,MATCH($E27,$F$8:$F$12,0))</f>
        <v>-109.81908655406792</v>
      </c>
      <c r="V27" s="543">
        <f>(Q27/INDEX(Backup_FS!$C$15:$C$18,MATCH("Electricity",Backup_FS!$A$15:$A$18,0)))*$G$6</f>
        <v>0</v>
      </c>
      <c r="W27" s="543">
        <f>(R27/INDEX(Backup_FS!$C$15:$C$18,MATCH("Electricity",Backup_FS!$A$15:$A$18,0)))*$G$7</f>
        <v>0</v>
      </c>
      <c r="X27" s="543">
        <f t="shared" ref="X27:X38" si="6">V27+W27</f>
        <v>0</v>
      </c>
      <c r="Y27" s="543">
        <f t="shared" ref="Y27:Y38" si="7">U27+V27+W27</f>
        <v>-109.81908655406792</v>
      </c>
      <c r="Z27" s="542">
        <f t="shared" ref="Z27:Z38" si="8">-P27/3412</f>
        <v>4604.5970274931333</v>
      </c>
      <c r="AA27" s="542">
        <f t="shared" ref="AA27:AA38" si="9">-S27/3412</f>
        <v>0</v>
      </c>
      <c r="AB27" s="542">
        <f t="shared" ref="AB27:AB38" si="10">Z27+AA27</f>
        <v>4604.5970274931333</v>
      </c>
      <c r="AC27" s="542">
        <f>-P27*INDEX(Backup_FS!$D$15:$D$18,MATCH($E27,Backup_FS!$A$15:$A$18,0))</f>
        <v>1832.6747419931364</v>
      </c>
      <c r="AD27" s="542">
        <f>-Q27*Backup_FS!$D$18</f>
        <v>0</v>
      </c>
      <c r="AE27" s="542">
        <f t="shared" ref="AE27:AE38" si="11">AC27+AD27</f>
        <v>1832.6747419931364</v>
      </c>
    </row>
    <row r="28" spans="1:31" hidden="1">
      <c r="A28" s="539" t="str">
        <f t="shared" si="0"/>
        <v>Residential_Appliances_n/a</v>
      </c>
      <c r="B28" s="293" t="s">
        <v>1165</v>
      </c>
      <c r="C28" s="293" t="s">
        <v>1168</v>
      </c>
      <c r="D28" s="293" t="str">
        <f>IF(F28="n/a","n/a",INDEX([18]Backup_FS!$B$11:$I$11,MATCH($F28,[18]Backup_FS!$B$7:$I$7,0)))</f>
        <v>n/a</v>
      </c>
      <c r="E28" s="540" t="s">
        <v>31</v>
      </c>
      <c r="F28" s="540" t="str">
        <f>IF('[18]Limited Fuel Switching'!P24="Propane",IF('[18]Limited Fuel Switching'!U24="Heat Pump Clothes Dryer","Heat Pump Clothes Dryer","n/a"),"n/a")</f>
        <v>n/a</v>
      </c>
      <c r="G28" s="541">
        <f>'[18]Limited Fuel Switching'!AI24</f>
        <v>0</v>
      </c>
      <c r="H28" s="542">
        <f>IFERROR(INDEX([18]Algorithms_FS!$F:$F,MATCH($A28&amp;"_BTU Impact_Existing_"&amp;H$24,[18]Algorithms_FS!$A:$A,0)),0)</f>
        <v>0</v>
      </c>
      <c r="I28" s="542">
        <f>IFERROR(INDEX([18]Algorithms_FS!$F:$F,MATCH($A28&amp;"_BTU Impact_Existing_"&amp;I$24,[18]Algorithms_FS!$A:$A,0)),0)</f>
        <v>0</v>
      </c>
      <c r="J28" s="542">
        <f>IFERROR(INDEX([18]Algorithms_FS!$F:$F,MATCH($A28&amp;"_BTU Impact_Existing_"&amp;J$24,[18]Algorithms_FS!$A:$A,0)),0)</f>
        <v>0</v>
      </c>
      <c r="K28" s="542">
        <f t="shared" si="3"/>
        <v>0</v>
      </c>
      <c r="L28" s="542">
        <f>IFERROR(INDEX([18]Algorithms_FS!$F:$F,MATCH($A28&amp;"_BTU Impact_New_"&amp;L$24,[18]Algorithms_FS!$A:$A,0)),0)</f>
        <v>0</v>
      </c>
      <c r="M28" s="542">
        <f>IFERROR(INDEX([18]Algorithms_FS!$F:$F,MATCH($A28&amp;"_BTU Impact_New_"&amp;M$24,[18]Algorithms_FS!$A:$A,0)),0)</f>
        <v>0</v>
      </c>
      <c r="N28" s="542">
        <f>IFERROR(INDEX([18]Algorithms_FS!$F:$F,MATCH($A28&amp;"_BTU Impact_New_"&amp;N$24,[18]Algorithms_FS!$A:$A,0)),0)</f>
        <v>0</v>
      </c>
      <c r="O28" s="542">
        <f t="shared" si="1"/>
        <v>0</v>
      </c>
      <c r="P28" s="542">
        <f t="shared" si="4"/>
        <v>0</v>
      </c>
      <c r="Q28" s="542">
        <f t="shared" si="2"/>
        <v>0</v>
      </c>
      <c r="R28" s="542">
        <f t="shared" si="2"/>
        <v>0</v>
      </c>
      <c r="S28" s="542">
        <f t="shared" si="2"/>
        <v>0</v>
      </c>
      <c r="T28" s="542">
        <f t="shared" si="5"/>
        <v>0</v>
      </c>
      <c r="U28" s="543">
        <f>(P28/INDEX([18]Backup_FS!$C$15:$C$18,MATCH($E28,[18]Backup_FS!$A$15:$A$18,0)))*INDEX($G$8:$G$12,MATCH($E28,$F$8:$F$12,0))</f>
        <v>0</v>
      </c>
      <c r="V28" s="543">
        <f>(Q28/INDEX([18]Backup_FS!$C$15:$C$18,MATCH("Electricity",[18]Backup_FS!$A$15:$A$18,0)))*$G$6</f>
        <v>0</v>
      </c>
      <c r="W28" s="543">
        <f>(R28/INDEX([18]Backup_FS!$C$15:$C$18,MATCH("Electricity",[18]Backup_FS!$A$15:$A$18,0)))*$G$7</f>
        <v>0</v>
      </c>
      <c r="X28" s="543">
        <f t="shared" si="6"/>
        <v>0</v>
      </c>
      <c r="Y28" s="543">
        <f t="shared" si="7"/>
        <v>0</v>
      </c>
      <c r="Z28" s="542">
        <f t="shared" si="8"/>
        <v>0</v>
      </c>
      <c r="AA28" s="542">
        <f t="shared" si="9"/>
        <v>0</v>
      </c>
      <c r="AB28" s="542">
        <f t="shared" si="10"/>
        <v>0</v>
      </c>
      <c r="AC28" s="542">
        <f>-P28*INDEX([18]Backup_FS!$D$15:$D$18,MATCH($E28,[18]Backup_FS!$A$15:$A$18,0))</f>
        <v>0</v>
      </c>
      <c r="AD28" s="542">
        <f>-Q28*[18]Backup_FS!$D$18</f>
        <v>0</v>
      </c>
      <c r="AE28" s="542">
        <f t="shared" si="11"/>
        <v>0</v>
      </c>
    </row>
    <row r="29" spans="1:31" hidden="1">
      <c r="A29" s="539" t="str">
        <f t="shared" si="0"/>
        <v>Residential_Appliances_n/a</v>
      </c>
      <c r="B29" s="293" t="s">
        <v>1165</v>
      </c>
      <c r="C29" s="293" t="s">
        <v>1168</v>
      </c>
      <c r="D29" s="293" t="str">
        <f>IF(F29="n/a","n/a",INDEX([18]Backup_FS!$B$11:$I$11,MATCH($F29,[18]Backup_FS!$B$7:$I$7,0)))</f>
        <v>n/a</v>
      </c>
      <c r="E29" s="540" t="s">
        <v>31</v>
      </c>
      <c r="F29" s="540" t="str">
        <f>IF('[18]Limited Fuel Switching'!P23="Propane",IF('[18]Limited Fuel Switching'!U23="Induction Cooktop","Electric Range","n/a"),"n/a")</f>
        <v>n/a</v>
      </c>
      <c r="G29" s="541">
        <f>'[18]Limited Fuel Switching'!AI23</f>
        <v>0</v>
      </c>
      <c r="H29" s="542">
        <f>IFERROR(INDEX([18]Algorithms_FS!$F:$F,MATCH($A29&amp;"_BTU Impact_Existing_"&amp;H$24,[18]Algorithms_FS!$A:$A,0)),0)</f>
        <v>0</v>
      </c>
      <c r="I29" s="542">
        <f>IFERROR(INDEX([18]Algorithms_FS!$F:$F,MATCH($A29&amp;"_BTU Impact_Existing_"&amp;I$24,[18]Algorithms_FS!$A:$A,0)),0)</f>
        <v>0</v>
      </c>
      <c r="J29" s="542">
        <f>IFERROR(INDEX([18]Algorithms_FS!$F:$F,MATCH($A29&amp;"_BTU Impact_Existing_"&amp;J$24,[18]Algorithms_FS!$A:$A,0)),0)</f>
        <v>0</v>
      </c>
      <c r="K29" s="542">
        <f t="shared" si="3"/>
        <v>0</v>
      </c>
      <c r="L29" s="542">
        <f>IFERROR(INDEX([18]Algorithms_FS!$F:$F,MATCH($A29&amp;"_BTU Impact_New_"&amp;L$24,[18]Algorithms_FS!$A:$A,0)),0)</f>
        <v>0</v>
      </c>
      <c r="M29" s="542">
        <f>IFERROR(INDEX([18]Algorithms_FS!$F:$F,MATCH($A29&amp;"_BTU Impact_New_"&amp;M$24,[18]Algorithms_FS!$A:$A,0)),0)</f>
        <v>0</v>
      </c>
      <c r="N29" s="542">
        <f>IFERROR(INDEX([18]Algorithms_FS!$F:$F,MATCH($A29&amp;"_BTU Impact_New_"&amp;N$24,[18]Algorithms_FS!$A:$A,0)),0)</f>
        <v>0</v>
      </c>
      <c r="O29" s="542">
        <f t="shared" si="1"/>
        <v>0</v>
      </c>
      <c r="P29" s="542">
        <f t="shared" si="4"/>
        <v>0</v>
      </c>
      <c r="Q29" s="542">
        <f t="shared" si="2"/>
        <v>0</v>
      </c>
      <c r="R29" s="542">
        <f t="shared" si="2"/>
        <v>0</v>
      </c>
      <c r="S29" s="542">
        <f t="shared" si="2"/>
        <v>0</v>
      </c>
      <c r="T29" s="542">
        <f t="shared" si="5"/>
        <v>0</v>
      </c>
      <c r="U29" s="543">
        <f>(P29/INDEX([18]Backup_FS!$C$15:$C$18,MATCH($E29,[18]Backup_FS!$A$15:$A$18,0)))*INDEX($G$8:$G$12,MATCH($E29,$F$8:$F$12,0))</f>
        <v>0</v>
      </c>
      <c r="V29" s="543">
        <f>(Q29/INDEX([18]Backup_FS!$C$15:$C$18,MATCH("Electricity",[18]Backup_FS!$A$15:$A$18,0)))*$G$6</f>
        <v>0</v>
      </c>
      <c r="W29" s="543">
        <f>(R29/INDEX([18]Backup_FS!$C$15:$C$18,MATCH("Electricity",[18]Backup_FS!$A$15:$A$18,0)))*$G$7</f>
        <v>0</v>
      </c>
      <c r="X29" s="543">
        <f t="shared" si="6"/>
        <v>0</v>
      </c>
      <c r="Y29" s="543">
        <f t="shared" si="7"/>
        <v>0</v>
      </c>
      <c r="Z29" s="542">
        <f t="shared" si="8"/>
        <v>0</v>
      </c>
      <c r="AA29" s="542">
        <f t="shared" si="9"/>
        <v>0</v>
      </c>
      <c r="AB29" s="542">
        <f t="shared" si="10"/>
        <v>0</v>
      </c>
      <c r="AC29" s="542">
        <f>-P29*INDEX([18]Backup_FS!$D$15:$D$18,MATCH($E29,[18]Backup_FS!$A$15:$A$18,0))</f>
        <v>0</v>
      </c>
      <c r="AD29" s="542">
        <f>-Q29*[18]Backup_FS!$D$18</f>
        <v>0</v>
      </c>
      <c r="AE29" s="542">
        <f t="shared" si="11"/>
        <v>0</v>
      </c>
    </row>
    <row r="30" spans="1:31" ht="1.5" hidden="1" customHeight="1">
      <c r="A30" s="539"/>
      <c r="B30" s="544"/>
      <c r="C30" s="544"/>
      <c r="D30" s="544"/>
      <c r="E30" s="545"/>
      <c r="F30" s="545"/>
      <c r="G30" s="546"/>
      <c r="H30" s="547"/>
      <c r="I30" s="547"/>
      <c r="J30" s="547"/>
      <c r="K30" s="547"/>
      <c r="L30" s="547"/>
      <c r="M30" s="547"/>
      <c r="N30" s="547"/>
      <c r="O30" s="547"/>
      <c r="P30" s="547"/>
      <c r="Q30" s="547"/>
      <c r="R30" s="547"/>
      <c r="S30" s="547"/>
      <c r="T30" s="547"/>
      <c r="U30" s="548"/>
      <c r="V30" s="548"/>
      <c r="W30" s="548"/>
      <c r="X30" s="548"/>
      <c r="Y30" s="548"/>
      <c r="Z30" s="547"/>
      <c r="AA30" s="547"/>
      <c r="AB30" s="547"/>
      <c r="AC30" s="547"/>
      <c r="AD30" s="547"/>
      <c r="AE30" s="547"/>
    </row>
    <row r="31" spans="1:31" hidden="1">
      <c r="A31" s="539" t="str">
        <f t="shared" si="0"/>
        <v>Residential_Building Shell_n/a</v>
      </c>
      <c r="B31" s="293" t="s">
        <v>1165</v>
      </c>
      <c r="C31" s="293" t="s">
        <v>1169</v>
      </c>
      <c r="D31" s="293" t="s">
        <v>1170</v>
      </c>
      <c r="E31" s="540" t="s">
        <v>31</v>
      </c>
      <c r="F31" s="540" t="str">
        <f>IF('[18]Limited Fuel Switching'!N13=0,"n/a","Air Sealing (Electric Heat)")</f>
        <v>n/a</v>
      </c>
      <c r="G31" s="541">
        <f>'[18]Limited Fuel Switching'!AI13</f>
        <v>0</v>
      </c>
      <c r="H31" s="542">
        <f>IFERROR(INDEX([18]Algorithms_FS!$F:$F,MATCH($A31&amp;"_BTU Impact_Existing_"&amp;H$24,[18]Algorithms_FS!$A:$A,0)),0)</f>
        <v>0</v>
      </c>
      <c r="I31" s="542">
        <f>IFERROR(INDEX([18]Algorithms_FS!$F:$F,MATCH($A31&amp;"_BTU Impact_Existing_"&amp;I$24,[18]Algorithms_FS!$A:$A,0)),0)</f>
        <v>0</v>
      </c>
      <c r="J31" s="542">
        <f>IFERROR(INDEX([18]Algorithms_FS!$F:$F,MATCH($A31&amp;"_BTU Impact_Existing_"&amp;J$24,[18]Algorithms_FS!$A:$A,0)),0)</f>
        <v>0</v>
      </c>
      <c r="K31" s="542">
        <f t="shared" ref="K31:K38" si="12">I31+J31</f>
        <v>0</v>
      </c>
      <c r="L31" s="542">
        <f>IFERROR(INDEX([18]Algorithms_FS!$F:$F,MATCH($A31&amp;"_BTU Impact_New_"&amp;L$24,[18]Algorithms_FS!$A:$A,0)),0)</f>
        <v>0</v>
      </c>
      <c r="M31" s="542">
        <f>IFERROR(INDEX([18]Algorithms_FS!$F:$F,MATCH($A31&amp;"_BTU Impact_New_"&amp;M$24,[18]Algorithms_FS!$A:$A,0)),0)</f>
        <v>0</v>
      </c>
      <c r="N31" s="542">
        <f>IFERROR(INDEX([18]Algorithms_FS!$F:$F,MATCH($A31&amp;"_BTU Impact_New_"&amp;N$24,[18]Algorithms_FS!$A:$A,0)),0)</f>
        <v>0</v>
      </c>
      <c r="O31" s="542">
        <f t="shared" ref="O31:O38" si="13">M31+N31</f>
        <v>0</v>
      </c>
      <c r="P31" s="542">
        <f t="shared" si="4"/>
        <v>0</v>
      </c>
      <c r="Q31" s="542">
        <f t="shared" si="2"/>
        <v>0</v>
      </c>
      <c r="R31" s="542">
        <f t="shared" si="2"/>
        <v>0</v>
      </c>
      <c r="S31" s="542">
        <f t="shared" si="2"/>
        <v>0</v>
      </c>
      <c r="T31" s="542">
        <f t="shared" si="5"/>
        <v>0</v>
      </c>
      <c r="U31" s="543">
        <f>(P31/INDEX([18]Backup_FS!$C$15:$C$18,MATCH($E31,[18]Backup_FS!$A$15:$A$18,0)))*INDEX($G$8:$G$12,MATCH($E31,$F$8:$F$12,0))</f>
        <v>0</v>
      </c>
      <c r="V31" s="543">
        <f>(Q31/INDEX([18]Backup_FS!$C$15:$C$18,MATCH("Electricity",[18]Backup_FS!$A$15:$A$18,0)))*$G$6</f>
        <v>0</v>
      </c>
      <c r="W31" s="543">
        <f>(R31/INDEX([18]Backup_FS!$C$15:$C$18,MATCH("Electricity",[18]Backup_FS!$A$15:$A$18,0)))*$G$7</f>
        <v>0</v>
      </c>
      <c r="X31" s="543">
        <f t="shared" si="6"/>
        <v>0</v>
      </c>
      <c r="Y31" s="543">
        <f t="shared" si="7"/>
        <v>0</v>
      </c>
      <c r="Z31" s="542">
        <f t="shared" si="8"/>
        <v>0</v>
      </c>
      <c r="AA31" s="542">
        <f t="shared" si="9"/>
        <v>0</v>
      </c>
      <c r="AB31" s="542">
        <f t="shared" si="10"/>
        <v>0</v>
      </c>
      <c r="AC31" s="542">
        <f>-P31*INDEX([18]Backup_FS!$D$15:$D$18,MATCH($E31,[18]Backup_FS!$A$15:$A$18,0))</f>
        <v>0</v>
      </c>
      <c r="AD31" s="542">
        <f>-Q31*[18]Backup_FS!$D$18</f>
        <v>0</v>
      </c>
      <c r="AE31" s="542">
        <f t="shared" si="11"/>
        <v>0</v>
      </c>
    </row>
    <row r="32" spans="1:31" hidden="1">
      <c r="A32" s="539" t="str">
        <f t="shared" si="0"/>
        <v>Residential_Building Shell_n/a</v>
      </c>
      <c r="B32" s="293" t="s">
        <v>1165</v>
      </c>
      <c r="C32" s="293" t="s">
        <v>1169</v>
      </c>
      <c r="D32" s="293" t="s">
        <v>1170</v>
      </c>
      <c r="E32" s="540" t="s">
        <v>31</v>
      </c>
      <c r="F32" s="540" t="str">
        <f>IF('[18]Limited Fuel Switching'!N14=0,"n/a","Ceiling/Attic Insulation #1 (Electric Heat)")</f>
        <v>n/a</v>
      </c>
      <c r="G32" s="541">
        <f>'[18]Limited Fuel Switching'!AI14</f>
        <v>0</v>
      </c>
      <c r="H32" s="542">
        <f>IFERROR(INDEX([18]Algorithms_FS!$F:$F,MATCH($A32&amp;"_BTU Impact_Existing_"&amp;H$24,[18]Algorithms_FS!$A:$A,0)),0)</f>
        <v>0</v>
      </c>
      <c r="I32" s="542">
        <f>IFERROR(INDEX([18]Algorithms_FS!$F:$F,MATCH($A32&amp;"_BTU Impact_Existing_"&amp;I$24,[18]Algorithms_FS!$A:$A,0)),0)</f>
        <v>0</v>
      </c>
      <c r="J32" s="542">
        <f>IFERROR(INDEX([18]Algorithms_FS!$F:$F,MATCH($A32&amp;"_BTU Impact_Existing_"&amp;J$24,[18]Algorithms_FS!$A:$A,0)),0)</f>
        <v>0</v>
      </c>
      <c r="K32" s="542">
        <f t="shared" si="12"/>
        <v>0</v>
      </c>
      <c r="L32" s="542">
        <f>IFERROR(INDEX([18]Algorithms_FS!$F:$F,MATCH($A32&amp;"_BTU Impact_New_"&amp;L$24,[18]Algorithms_FS!$A:$A,0)),0)</f>
        <v>0</v>
      </c>
      <c r="M32" s="542">
        <f>IFERROR(INDEX([18]Algorithms_FS!$F:$F,MATCH($A32&amp;"_BTU Impact_New_"&amp;M$24,[18]Algorithms_FS!$A:$A,0)),0)</f>
        <v>0</v>
      </c>
      <c r="N32" s="542">
        <f>IFERROR(INDEX([18]Algorithms_FS!$F:$F,MATCH($A32&amp;"_BTU Impact_New_"&amp;N$24,[18]Algorithms_FS!$A:$A,0)),0)</f>
        <v>0</v>
      </c>
      <c r="O32" s="542">
        <f t="shared" si="13"/>
        <v>0</v>
      </c>
      <c r="P32" s="542">
        <f t="shared" si="4"/>
        <v>0</v>
      </c>
      <c r="Q32" s="542">
        <f t="shared" si="2"/>
        <v>0</v>
      </c>
      <c r="R32" s="542">
        <f t="shared" si="2"/>
        <v>0</v>
      </c>
      <c r="S32" s="542">
        <f t="shared" si="2"/>
        <v>0</v>
      </c>
      <c r="T32" s="542">
        <f t="shared" si="5"/>
        <v>0</v>
      </c>
      <c r="U32" s="543">
        <f>(P32/INDEX([18]Backup_FS!$C$15:$C$18,MATCH($E32,[18]Backup_FS!$A$15:$A$18,0)))*INDEX($G$8:$G$12,MATCH($E32,$F$8:$F$12,0))</f>
        <v>0</v>
      </c>
      <c r="V32" s="543">
        <f>(Q32/INDEX([18]Backup_FS!$C$15:$C$18,MATCH("Electricity",[18]Backup_FS!$A$15:$A$18,0)))*$G$6</f>
        <v>0</v>
      </c>
      <c r="W32" s="543">
        <f>(R32/INDEX([18]Backup_FS!$C$15:$C$18,MATCH("Electricity",[18]Backup_FS!$A$15:$A$18,0)))*$G$7</f>
        <v>0</v>
      </c>
      <c r="X32" s="543">
        <f t="shared" si="6"/>
        <v>0</v>
      </c>
      <c r="Y32" s="543">
        <f t="shared" si="7"/>
        <v>0</v>
      </c>
      <c r="Z32" s="542">
        <f t="shared" si="8"/>
        <v>0</v>
      </c>
      <c r="AA32" s="542">
        <f t="shared" si="9"/>
        <v>0</v>
      </c>
      <c r="AB32" s="542">
        <f t="shared" si="10"/>
        <v>0</v>
      </c>
      <c r="AC32" s="542">
        <f>-P32*INDEX([18]Backup_FS!$D$15:$D$18,MATCH($E32,[18]Backup_FS!$A$15:$A$18,0))</f>
        <v>0</v>
      </c>
      <c r="AD32" s="542">
        <f>-Q32*[18]Backup_FS!$D$18</f>
        <v>0</v>
      </c>
      <c r="AE32" s="542">
        <f t="shared" si="11"/>
        <v>0</v>
      </c>
    </row>
    <row r="33" spans="1:31" hidden="1">
      <c r="A33" s="539" t="str">
        <f t="shared" si="0"/>
        <v>Residential_Building Shell_n/a</v>
      </c>
      <c r="B33" s="293" t="s">
        <v>1165</v>
      </c>
      <c r="C33" s="293" t="s">
        <v>1169</v>
      </c>
      <c r="D33" s="293" t="s">
        <v>1170</v>
      </c>
      <c r="E33" s="540" t="s">
        <v>31</v>
      </c>
      <c r="F33" s="540" t="str">
        <f>IF('[18]Limited Fuel Switching'!N15=0,"n/a","Ceiling/Attic Insulation #2 (Electric Heat)")</f>
        <v>n/a</v>
      </c>
      <c r="G33" s="541">
        <f>'[18]Limited Fuel Switching'!AI15</f>
        <v>0</v>
      </c>
      <c r="H33" s="542">
        <f>IFERROR(INDEX([18]Algorithms_FS!$F:$F,MATCH($A33&amp;"_BTU Impact_Existing_"&amp;H$24,[18]Algorithms_FS!$A:$A,0)),0)</f>
        <v>0</v>
      </c>
      <c r="I33" s="542">
        <f>IFERROR(INDEX([18]Algorithms_FS!$F:$F,MATCH($A33&amp;"_BTU Impact_Existing_"&amp;I$24,[18]Algorithms_FS!$A:$A,0)),0)</f>
        <v>0</v>
      </c>
      <c r="J33" s="542">
        <f>IFERROR(INDEX([18]Algorithms_FS!$F:$F,MATCH($A33&amp;"_BTU Impact_Existing_"&amp;J$24,[18]Algorithms_FS!$A:$A,0)),0)</f>
        <v>0</v>
      </c>
      <c r="K33" s="542">
        <f t="shared" si="12"/>
        <v>0</v>
      </c>
      <c r="L33" s="542">
        <f>IFERROR(INDEX([18]Algorithms_FS!$F:$F,MATCH($A33&amp;"_BTU Impact_New_"&amp;L$24,[18]Algorithms_FS!$A:$A,0)),0)</f>
        <v>0</v>
      </c>
      <c r="M33" s="542">
        <f>IFERROR(INDEX([18]Algorithms_FS!$F:$F,MATCH($A33&amp;"_BTU Impact_New_"&amp;M$24,[18]Algorithms_FS!$A:$A,0)),0)</f>
        <v>0</v>
      </c>
      <c r="N33" s="542">
        <f>IFERROR(INDEX([18]Algorithms_FS!$F:$F,MATCH($A33&amp;"_BTU Impact_New_"&amp;N$24,[18]Algorithms_FS!$A:$A,0)),0)</f>
        <v>0</v>
      </c>
      <c r="O33" s="542">
        <f t="shared" si="13"/>
        <v>0</v>
      </c>
      <c r="P33" s="542">
        <f t="shared" si="4"/>
        <v>0</v>
      </c>
      <c r="Q33" s="542">
        <f t="shared" si="2"/>
        <v>0</v>
      </c>
      <c r="R33" s="542">
        <f t="shared" si="2"/>
        <v>0</v>
      </c>
      <c r="S33" s="542">
        <f t="shared" si="2"/>
        <v>0</v>
      </c>
      <c r="T33" s="542">
        <f t="shared" si="5"/>
        <v>0</v>
      </c>
      <c r="U33" s="543">
        <f>(P33/INDEX([18]Backup_FS!$C$15:$C$18,MATCH($E33,[18]Backup_FS!$A$15:$A$18,0)))*INDEX($G$8:$G$12,MATCH($E33,$F$8:$F$12,0))</f>
        <v>0</v>
      </c>
      <c r="V33" s="543">
        <f>(Q33/INDEX([18]Backup_FS!$C$15:$C$18,MATCH("Electricity",[18]Backup_FS!$A$15:$A$18,0)))*$G$6</f>
        <v>0</v>
      </c>
      <c r="W33" s="543">
        <f>(R33/INDEX([18]Backup_FS!$C$15:$C$18,MATCH("Electricity",[18]Backup_FS!$A$15:$A$18,0)))*$G$7</f>
        <v>0</v>
      </c>
      <c r="X33" s="543">
        <f t="shared" si="6"/>
        <v>0</v>
      </c>
      <c r="Y33" s="543">
        <f t="shared" si="7"/>
        <v>0</v>
      </c>
      <c r="Z33" s="542">
        <f t="shared" si="8"/>
        <v>0</v>
      </c>
      <c r="AA33" s="542">
        <f t="shared" si="9"/>
        <v>0</v>
      </c>
      <c r="AB33" s="542">
        <f t="shared" si="10"/>
        <v>0</v>
      </c>
      <c r="AC33" s="542">
        <f>-P33*INDEX([18]Backup_FS!$D$15:$D$18,MATCH($E33,[18]Backup_FS!$A$15:$A$18,0))</f>
        <v>0</v>
      </c>
      <c r="AD33" s="542">
        <f>-Q33*[18]Backup_FS!$D$18</f>
        <v>0</v>
      </c>
      <c r="AE33" s="542">
        <f t="shared" si="11"/>
        <v>0</v>
      </c>
    </row>
    <row r="34" spans="1:31" hidden="1">
      <c r="A34" s="539" t="str">
        <f t="shared" si="0"/>
        <v>Residential_Building Shell_n/a</v>
      </c>
      <c r="B34" s="293" t="s">
        <v>1165</v>
      </c>
      <c r="C34" s="293" t="s">
        <v>1169</v>
      </c>
      <c r="D34" s="293" t="s">
        <v>1170</v>
      </c>
      <c r="E34" s="540" t="s">
        <v>31</v>
      </c>
      <c r="F34" s="540" t="str">
        <f>IF('[18]Limited Fuel Switching'!N16=0,"n/a","Attic Kneewall Insulation #1 (Electric Heat)")</f>
        <v>n/a</v>
      </c>
      <c r="G34" s="541">
        <f>'[18]Limited Fuel Switching'!AI16</f>
        <v>0</v>
      </c>
      <c r="H34" s="542">
        <f>IFERROR(INDEX([18]Algorithms_FS!$F:$F,MATCH($A34&amp;"_BTU Impact_Existing_"&amp;H$24,[18]Algorithms_FS!$A:$A,0)),0)</f>
        <v>0</v>
      </c>
      <c r="I34" s="542">
        <f>IFERROR(INDEX([18]Algorithms_FS!$F:$F,MATCH($A34&amp;"_BTU Impact_Existing_"&amp;I$24,[18]Algorithms_FS!$A:$A,0)),0)</f>
        <v>0</v>
      </c>
      <c r="J34" s="542">
        <f>IFERROR(INDEX([18]Algorithms_FS!$F:$F,MATCH($A34&amp;"_BTU Impact_Existing_"&amp;J$24,[18]Algorithms_FS!$A:$A,0)),0)</f>
        <v>0</v>
      </c>
      <c r="K34" s="542">
        <f t="shared" si="12"/>
        <v>0</v>
      </c>
      <c r="L34" s="542">
        <f>IFERROR(INDEX([18]Algorithms_FS!$F:$F,MATCH($A34&amp;"_BTU Impact_New_"&amp;L$24,[18]Algorithms_FS!$A:$A,0)),0)</f>
        <v>0</v>
      </c>
      <c r="M34" s="542">
        <f>IFERROR(INDEX([18]Algorithms_FS!$F:$F,MATCH($A34&amp;"_BTU Impact_New_"&amp;M$24,[18]Algorithms_FS!$A:$A,0)),0)</f>
        <v>0</v>
      </c>
      <c r="N34" s="542">
        <f>IFERROR(INDEX([18]Algorithms_FS!$F:$F,MATCH($A34&amp;"_BTU Impact_New_"&amp;N$24,[18]Algorithms_FS!$A:$A,0)),0)</f>
        <v>0</v>
      </c>
      <c r="O34" s="542">
        <f t="shared" si="13"/>
        <v>0</v>
      </c>
      <c r="P34" s="542">
        <f t="shared" si="4"/>
        <v>0</v>
      </c>
      <c r="Q34" s="542">
        <f t="shared" si="2"/>
        <v>0</v>
      </c>
      <c r="R34" s="542">
        <f t="shared" si="2"/>
        <v>0</v>
      </c>
      <c r="S34" s="542">
        <f t="shared" si="2"/>
        <v>0</v>
      </c>
      <c r="T34" s="542">
        <f t="shared" si="5"/>
        <v>0</v>
      </c>
      <c r="U34" s="543">
        <f>(P34/INDEX([18]Backup_FS!$C$15:$C$18,MATCH($E34,[18]Backup_FS!$A$15:$A$18,0)))*INDEX($G$8:$G$12,MATCH($E34,$F$8:$F$12,0))</f>
        <v>0</v>
      </c>
      <c r="V34" s="543">
        <f>(Q34/INDEX([18]Backup_FS!$C$15:$C$18,MATCH("Electricity",[18]Backup_FS!$A$15:$A$18,0)))*$G$6</f>
        <v>0</v>
      </c>
      <c r="W34" s="543">
        <f>(R34/INDEX([18]Backup_FS!$C$15:$C$18,MATCH("Electricity",[18]Backup_FS!$A$15:$A$18,0)))*$G$7</f>
        <v>0</v>
      </c>
      <c r="X34" s="543">
        <f t="shared" si="6"/>
        <v>0</v>
      </c>
      <c r="Y34" s="543">
        <f t="shared" si="7"/>
        <v>0</v>
      </c>
      <c r="Z34" s="542">
        <f t="shared" si="8"/>
        <v>0</v>
      </c>
      <c r="AA34" s="542">
        <f t="shared" si="9"/>
        <v>0</v>
      </c>
      <c r="AB34" s="542">
        <f t="shared" si="10"/>
        <v>0</v>
      </c>
      <c r="AC34" s="542">
        <f>-P34*INDEX([18]Backup_FS!$D$15:$D$18,MATCH($E34,[18]Backup_FS!$A$15:$A$18,0))</f>
        <v>0</v>
      </c>
      <c r="AD34" s="542">
        <f>-Q34*[18]Backup_FS!$D$18</f>
        <v>0</v>
      </c>
      <c r="AE34" s="542">
        <f t="shared" si="11"/>
        <v>0</v>
      </c>
    </row>
    <row r="35" spans="1:31" hidden="1">
      <c r="A35" s="539" t="str">
        <f t="shared" si="0"/>
        <v>Residential_Building Shell_n/a</v>
      </c>
      <c r="B35" s="293" t="s">
        <v>1165</v>
      </c>
      <c r="C35" s="293" t="s">
        <v>1169</v>
      </c>
      <c r="D35" s="293" t="s">
        <v>1170</v>
      </c>
      <c r="E35" s="540" t="s">
        <v>31</v>
      </c>
      <c r="F35" s="540" t="s">
        <v>1166</v>
      </c>
      <c r="G35" s="541">
        <f>IFERROR(INDEX([18]Algorithms_FS!$F:$F,MATCH($A35&amp;"_Incremental Cost",[18]Algorithms_FS!$A:$A,0)),0)</f>
        <v>0</v>
      </c>
      <c r="H35" s="542">
        <f>IFERROR(INDEX([18]Algorithms_FS!$F:$F,MATCH($A35&amp;"_BTU Impact_Existing_"&amp;H$24,[18]Algorithms_FS!$A:$A,0)),0)</f>
        <v>0</v>
      </c>
      <c r="I35" s="542">
        <f>IFERROR(INDEX([18]Algorithms_FS!$F:$F,MATCH($A35&amp;"_BTU Impact_Existing_"&amp;I$24,[18]Algorithms_FS!$A:$A,0)),0)</f>
        <v>0</v>
      </c>
      <c r="J35" s="542">
        <f>IFERROR(INDEX([18]Algorithms_FS!$F:$F,MATCH($A35&amp;"_BTU Impact_Existing_"&amp;J$24,[18]Algorithms_FS!$A:$A,0)),0)</f>
        <v>0</v>
      </c>
      <c r="K35" s="542">
        <f t="shared" si="12"/>
        <v>0</v>
      </c>
      <c r="L35" s="542">
        <f>IFERROR(INDEX([18]Algorithms_FS!$F:$F,MATCH($A35&amp;"_BTU Impact_New_"&amp;L$24,[18]Algorithms_FS!$A:$A,0)),0)</f>
        <v>0</v>
      </c>
      <c r="M35" s="542">
        <f>IFERROR(INDEX([18]Algorithms_FS!$F:$F,MATCH($A35&amp;"_BTU Impact_New_"&amp;M$24,[18]Algorithms_FS!$A:$A,0)),0)</f>
        <v>0</v>
      </c>
      <c r="N35" s="542">
        <f>IFERROR(INDEX([18]Algorithms_FS!$F:$F,MATCH($A35&amp;"_BTU Impact_New_"&amp;N$24,[18]Algorithms_FS!$A:$A,0)),0)</f>
        <v>0</v>
      </c>
      <c r="O35" s="542">
        <f t="shared" si="13"/>
        <v>0</v>
      </c>
      <c r="P35" s="542">
        <f t="shared" si="4"/>
        <v>0</v>
      </c>
      <c r="Q35" s="542">
        <f t="shared" si="2"/>
        <v>0</v>
      </c>
      <c r="R35" s="542">
        <f t="shared" si="2"/>
        <v>0</v>
      </c>
      <c r="S35" s="542">
        <f t="shared" si="2"/>
        <v>0</v>
      </c>
      <c r="T35" s="542">
        <f t="shared" si="5"/>
        <v>0</v>
      </c>
      <c r="U35" s="543">
        <f>(P35/INDEX([18]Backup_FS!$C$15:$C$18,MATCH($E35,[18]Backup_FS!$A$15:$A$18,0)))*INDEX($G$8:$G$12,MATCH($E35,$F$8:$F$12,0))</f>
        <v>0</v>
      </c>
      <c r="V35" s="543">
        <f>(Q35/INDEX([18]Backup_FS!$C$15:$C$18,MATCH("Electricity",[18]Backup_FS!$A$15:$A$18,0)))*$G$6</f>
        <v>0</v>
      </c>
      <c r="W35" s="543">
        <f>(R35/INDEX([18]Backup_FS!$C$15:$C$18,MATCH("Electricity",[18]Backup_FS!$A$15:$A$18,0)))*$G$7</f>
        <v>0</v>
      </c>
      <c r="X35" s="543">
        <f t="shared" si="6"/>
        <v>0</v>
      </c>
      <c r="Y35" s="543">
        <f t="shared" si="7"/>
        <v>0</v>
      </c>
      <c r="Z35" s="542">
        <f t="shared" si="8"/>
        <v>0</v>
      </c>
      <c r="AA35" s="542">
        <f t="shared" si="9"/>
        <v>0</v>
      </c>
      <c r="AB35" s="542">
        <f t="shared" si="10"/>
        <v>0</v>
      </c>
      <c r="AC35" s="542">
        <f>-P35*INDEX([18]Backup_FS!$D$15:$D$18,MATCH($E35,[18]Backup_FS!$A$15:$A$18,0))</f>
        <v>0</v>
      </c>
      <c r="AD35" s="542">
        <f>-Q35*[18]Backup_FS!$D$18</f>
        <v>0</v>
      </c>
      <c r="AE35" s="542">
        <f t="shared" si="11"/>
        <v>0</v>
      </c>
    </row>
    <row r="36" spans="1:31" hidden="1">
      <c r="A36" s="539" t="str">
        <f t="shared" si="0"/>
        <v>Residential_Building Shell_n/a</v>
      </c>
      <c r="B36" s="293" t="s">
        <v>1165</v>
      </c>
      <c r="C36" s="293" t="s">
        <v>1169</v>
      </c>
      <c r="D36" s="293" t="s">
        <v>1170</v>
      </c>
      <c r="E36" s="540" t="s">
        <v>31</v>
      </c>
      <c r="F36" s="540" t="str">
        <f>IF('[18]Limited Fuel Switching'!N17=0,"n/a","Wall Insulation (Electric Heat)")</f>
        <v>n/a</v>
      </c>
      <c r="G36" s="541">
        <f>'[18]Limited Fuel Switching'!AI17</f>
        <v>0</v>
      </c>
      <c r="H36" s="542">
        <f>IFERROR(INDEX([18]Algorithms_FS!$F:$F,MATCH($A36&amp;"_BTU Impact_Existing_"&amp;H$24,[18]Algorithms_FS!$A:$A,0)),0)</f>
        <v>0</v>
      </c>
      <c r="I36" s="542">
        <f>IFERROR(INDEX([18]Algorithms_FS!$F:$F,MATCH($A36&amp;"_BTU Impact_Existing_"&amp;I$24,[18]Algorithms_FS!$A:$A,0)),0)</f>
        <v>0</v>
      </c>
      <c r="J36" s="542">
        <f>IFERROR(INDEX([18]Algorithms_FS!$F:$F,MATCH($A36&amp;"_BTU Impact_Existing_"&amp;J$24,[18]Algorithms_FS!$A:$A,0)),0)</f>
        <v>0</v>
      </c>
      <c r="K36" s="542">
        <f t="shared" si="12"/>
        <v>0</v>
      </c>
      <c r="L36" s="542">
        <f>IFERROR(INDEX([18]Algorithms_FS!$F:$F,MATCH($A36&amp;"_BTU Impact_New_"&amp;L$24,[18]Algorithms_FS!$A:$A,0)),0)</f>
        <v>0</v>
      </c>
      <c r="M36" s="542">
        <f>IFERROR(INDEX([18]Algorithms_FS!$F:$F,MATCH($A36&amp;"_BTU Impact_New_"&amp;M$24,[18]Algorithms_FS!$A:$A,0)),0)</f>
        <v>0</v>
      </c>
      <c r="N36" s="542">
        <f>IFERROR(INDEX([18]Algorithms_FS!$F:$F,MATCH($A36&amp;"_BTU Impact_New_"&amp;N$24,[18]Algorithms_FS!$A:$A,0)),0)</f>
        <v>0</v>
      </c>
      <c r="O36" s="542">
        <f t="shared" si="13"/>
        <v>0</v>
      </c>
      <c r="P36" s="542">
        <f t="shared" si="4"/>
        <v>0</v>
      </c>
      <c r="Q36" s="542">
        <f t="shared" si="2"/>
        <v>0</v>
      </c>
      <c r="R36" s="542">
        <f t="shared" si="2"/>
        <v>0</v>
      </c>
      <c r="S36" s="542">
        <f t="shared" si="2"/>
        <v>0</v>
      </c>
      <c r="T36" s="542">
        <f t="shared" si="5"/>
        <v>0</v>
      </c>
      <c r="U36" s="543">
        <f>(P36/INDEX([18]Backup_FS!$C$15:$C$18,MATCH($E36,[18]Backup_FS!$A$15:$A$18,0)))*INDEX($G$8:$G$12,MATCH($E36,$F$8:$F$12,0))</f>
        <v>0</v>
      </c>
      <c r="V36" s="543">
        <f>(Q36/INDEX([18]Backup_FS!$C$15:$C$18,MATCH("Electricity",[18]Backup_FS!$A$15:$A$18,0)))*$G$6</f>
        <v>0</v>
      </c>
      <c r="W36" s="543">
        <f>(R36/INDEX([18]Backup_FS!$C$15:$C$18,MATCH("Electricity",[18]Backup_FS!$A$15:$A$18,0)))*$G$7</f>
        <v>0</v>
      </c>
      <c r="X36" s="543">
        <f t="shared" si="6"/>
        <v>0</v>
      </c>
      <c r="Y36" s="543">
        <f t="shared" si="7"/>
        <v>0</v>
      </c>
      <c r="Z36" s="542">
        <f t="shared" si="8"/>
        <v>0</v>
      </c>
      <c r="AA36" s="542">
        <f t="shared" si="9"/>
        <v>0</v>
      </c>
      <c r="AB36" s="542">
        <f t="shared" si="10"/>
        <v>0</v>
      </c>
      <c r="AC36" s="542">
        <f>-P36*INDEX([18]Backup_FS!$D$15:$D$18,MATCH($E36,[18]Backup_FS!$A$15:$A$18,0))</f>
        <v>0</v>
      </c>
      <c r="AD36" s="542">
        <f>-Q36*[18]Backup_FS!$D$18</f>
        <v>0</v>
      </c>
      <c r="AE36" s="542">
        <f t="shared" si="11"/>
        <v>0</v>
      </c>
    </row>
    <row r="37" spans="1:31" hidden="1">
      <c r="A37" s="539" t="str">
        <f t="shared" si="0"/>
        <v>Residential_Building Shell_n/a</v>
      </c>
      <c r="B37" s="293" t="s">
        <v>1165</v>
      </c>
      <c r="C37" s="293" t="s">
        <v>1169</v>
      </c>
      <c r="D37" s="293" t="s">
        <v>1170</v>
      </c>
      <c r="E37" s="540" t="s">
        <v>31</v>
      </c>
      <c r="F37" s="540" t="str">
        <f>IF('[18]Limited Fuel Switching'!N18=0,"n/a","Rim/Band Joist Insulation (Electric Heat)")</f>
        <v>n/a</v>
      </c>
      <c r="G37" s="541">
        <f>'[18]Limited Fuel Switching'!AI18</f>
        <v>0</v>
      </c>
      <c r="H37" s="542">
        <f>IFERROR(INDEX([18]Algorithms_FS!$F:$F,MATCH($A37&amp;"_BTU Impact_Existing_"&amp;H$24,[18]Algorithms_FS!$A:$A,0)),0)</f>
        <v>0</v>
      </c>
      <c r="I37" s="542">
        <f>IFERROR(INDEX([18]Algorithms_FS!$F:$F,MATCH($A37&amp;"_BTU Impact_Existing_"&amp;I$24,[18]Algorithms_FS!$A:$A,0)),0)</f>
        <v>0</v>
      </c>
      <c r="J37" s="542">
        <f>IFERROR(INDEX([18]Algorithms_FS!$F:$F,MATCH($A37&amp;"_BTU Impact_Existing_"&amp;J$24,[18]Algorithms_FS!$A:$A,0)),0)</f>
        <v>0</v>
      </c>
      <c r="K37" s="542">
        <f t="shared" si="12"/>
        <v>0</v>
      </c>
      <c r="L37" s="542">
        <f>IFERROR(INDEX([18]Algorithms_FS!$F:$F,MATCH($A37&amp;"_BTU Impact_New_"&amp;L$24,[18]Algorithms_FS!$A:$A,0)),0)</f>
        <v>0</v>
      </c>
      <c r="M37" s="542">
        <f>IFERROR(INDEX([18]Algorithms_FS!$F:$F,MATCH($A37&amp;"_BTU Impact_New_"&amp;M$24,[18]Algorithms_FS!$A:$A,0)),0)</f>
        <v>0</v>
      </c>
      <c r="N37" s="542">
        <f>IFERROR(INDEX([18]Algorithms_FS!$F:$F,MATCH($A37&amp;"_BTU Impact_New_"&amp;N$24,[18]Algorithms_FS!$A:$A,0)),0)</f>
        <v>0</v>
      </c>
      <c r="O37" s="542">
        <f t="shared" si="13"/>
        <v>0</v>
      </c>
      <c r="P37" s="542">
        <f t="shared" si="4"/>
        <v>0</v>
      </c>
      <c r="Q37" s="542">
        <f t="shared" si="2"/>
        <v>0</v>
      </c>
      <c r="R37" s="542">
        <f t="shared" si="2"/>
        <v>0</v>
      </c>
      <c r="S37" s="542">
        <f t="shared" si="2"/>
        <v>0</v>
      </c>
      <c r="T37" s="542">
        <f t="shared" si="5"/>
        <v>0</v>
      </c>
      <c r="U37" s="543">
        <f>(P37/INDEX([18]Backup_FS!$C$15:$C$18,MATCH($E37,[18]Backup_FS!$A$15:$A$18,0)))*INDEX($G$8:$G$12,MATCH($E37,$F$8:$F$12,0))</f>
        <v>0</v>
      </c>
      <c r="V37" s="543">
        <f>(Q37/INDEX([18]Backup_FS!$C$15:$C$18,MATCH("Electricity",[18]Backup_FS!$A$15:$A$18,0)))*$G$6</f>
        <v>0</v>
      </c>
      <c r="W37" s="543">
        <f>(R37/INDEX([18]Backup_FS!$C$15:$C$18,MATCH("Electricity",[18]Backup_FS!$A$15:$A$18,0)))*$G$7</f>
        <v>0</v>
      </c>
      <c r="X37" s="543">
        <f t="shared" si="6"/>
        <v>0</v>
      </c>
      <c r="Y37" s="543">
        <f t="shared" si="7"/>
        <v>0</v>
      </c>
      <c r="Z37" s="542">
        <f t="shared" si="8"/>
        <v>0</v>
      </c>
      <c r="AA37" s="542">
        <f t="shared" si="9"/>
        <v>0</v>
      </c>
      <c r="AB37" s="542">
        <f t="shared" si="10"/>
        <v>0</v>
      </c>
      <c r="AC37" s="542">
        <f>-P37*INDEX([18]Backup_FS!$D$15:$D$18,MATCH($E37,[18]Backup_FS!$A$15:$A$18,0))</f>
        <v>0</v>
      </c>
      <c r="AD37" s="542">
        <f>-Q37*[18]Backup_FS!$D$18</f>
        <v>0</v>
      </c>
      <c r="AE37" s="542">
        <f t="shared" si="11"/>
        <v>0</v>
      </c>
    </row>
    <row r="38" spans="1:31" hidden="1">
      <c r="A38" s="539" t="str">
        <f t="shared" si="0"/>
        <v>Residential_Building Shell_n/a</v>
      </c>
      <c r="B38" s="549" t="s">
        <v>1165</v>
      </c>
      <c r="C38" s="549" t="s">
        <v>1169</v>
      </c>
      <c r="D38" s="293" t="s">
        <v>1170</v>
      </c>
      <c r="E38" s="540" t="s">
        <v>31</v>
      </c>
      <c r="F38" s="540" t="str">
        <f>IF('[18]Limited Fuel Switching'!N19=0,"n/a","Basement Sidewall Insulation (Electric Heat)")</f>
        <v>n/a</v>
      </c>
      <c r="G38" s="541">
        <f>'[18]Limited Fuel Switching'!AI19</f>
        <v>0</v>
      </c>
      <c r="H38" s="542">
        <f>IFERROR(INDEX([18]Algorithms_FS!$F:$F,MATCH($A38&amp;"_BTU Impact_Existing_"&amp;H$24,[18]Algorithms_FS!$A:$A,0)),0)</f>
        <v>0</v>
      </c>
      <c r="I38" s="542">
        <f>IFERROR(INDEX([18]Algorithms_FS!$F:$F,MATCH($A38&amp;"_BTU Impact_Existing_"&amp;I$24,[18]Algorithms_FS!$A:$A,0)),0)</f>
        <v>0</v>
      </c>
      <c r="J38" s="542">
        <f>IFERROR(INDEX([18]Algorithms_FS!$F:$F,MATCH($A38&amp;"_BTU Impact_Existing_"&amp;J$24,[18]Algorithms_FS!$A:$A,0)),0)</f>
        <v>0</v>
      </c>
      <c r="K38" s="542">
        <f t="shared" si="12"/>
        <v>0</v>
      </c>
      <c r="L38" s="542">
        <f>IFERROR(INDEX([18]Algorithms_FS!$F:$F,MATCH($A38&amp;"_BTU Impact_New_"&amp;L$24,[18]Algorithms_FS!$A:$A,0)),0)</f>
        <v>0</v>
      </c>
      <c r="M38" s="542">
        <f>IFERROR(INDEX([18]Algorithms_FS!$F:$F,MATCH($A38&amp;"_BTU Impact_New_"&amp;M$24,[18]Algorithms_FS!$A:$A,0)),0)</f>
        <v>0</v>
      </c>
      <c r="N38" s="542">
        <f>IFERROR(INDEX([18]Algorithms_FS!$F:$F,MATCH($A38&amp;"_BTU Impact_New_"&amp;N$24,[18]Algorithms_FS!$A:$A,0)),0)</f>
        <v>0</v>
      </c>
      <c r="O38" s="542">
        <f t="shared" si="13"/>
        <v>0</v>
      </c>
      <c r="P38" s="542">
        <f t="shared" si="4"/>
        <v>0</v>
      </c>
      <c r="Q38" s="542">
        <f t="shared" si="2"/>
        <v>0</v>
      </c>
      <c r="R38" s="542">
        <f t="shared" si="2"/>
        <v>0</v>
      </c>
      <c r="S38" s="542">
        <f t="shared" si="2"/>
        <v>0</v>
      </c>
      <c r="T38" s="542">
        <f t="shared" si="5"/>
        <v>0</v>
      </c>
      <c r="U38" s="543">
        <f>(P38/INDEX([18]Backup_FS!$C$15:$C$18,MATCH($E38,[18]Backup_FS!$A$15:$A$18,0)))*INDEX($G$8:$G$12,MATCH($E38,$F$8:$F$12,0))</f>
        <v>0</v>
      </c>
      <c r="V38" s="543">
        <f>(Q38/INDEX([18]Backup_FS!$C$15:$C$18,MATCH("Electricity",[18]Backup_FS!$A$15:$A$18,0)))*$G$6</f>
        <v>0</v>
      </c>
      <c r="W38" s="543">
        <f>(R38/INDEX([18]Backup_FS!$C$15:$C$18,MATCH("Electricity",[18]Backup_FS!$A$15:$A$18,0)))*$G$7</f>
        <v>0</v>
      </c>
      <c r="X38" s="543">
        <f t="shared" si="6"/>
        <v>0</v>
      </c>
      <c r="Y38" s="543">
        <f t="shared" si="7"/>
        <v>0</v>
      </c>
      <c r="Z38" s="542">
        <f t="shared" si="8"/>
        <v>0</v>
      </c>
      <c r="AA38" s="542">
        <f t="shared" si="9"/>
        <v>0</v>
      </c>
      <c r="AB38" s="542">
        <f t="shared" si="10"/>
        <v>0</v>
      </c>
      <c r="AC38" s="542">
        <f>-P38*INDEX([18]Backup_FS!$D$15:$D$18,MATCH($E38,[18]Backup_FS!$A$15:$A$18,0))</f>
        <v>0</v>
      </c>
      <c r="AD38" s="542">
        <f>-Q38*[18]Backup_FS!$D$18</f>
        <v>0</v>
      </c>
      <c r="AE38" s="542">
        <f t="shared" si="11"/>
        <v>0</v>
      </c>
    </row>
    <row r="39" spans="1:31">
      <c r="B39" s="513"/>
      <c r="C39" s="550"/>
      <c r="D39" s="550"/>
      <c r="E39" s="550"/>
      <c r="F39" s="514"/>
      <c r="G39" s="551">
        <f>SUM(G25:G38)</f>
        <v>0</v>
      </c>
      <c r="H39" s="513"/>
      <c r="I39" s="550"/>
      <c r="J39" s="552"/>
      <c r="K39" s="553"/>
      <c r="L39" s="513"/>
      <c r="M39" s="550"/>
      <c r="N39" s="552"/>
      <c r="O39" s="553"/>
      <c r="P39" s="513"/>
      <c r="Q39" s="550"/>
      <c r="R39" s="552"/>
      <c r="S39" s="552" t="s">
        <v>1171</v>
      </c>
      <c r="T39" s="554">
        <f>SUM(T25:T38)</f>
        <v>-15710885.05780657</v>
      </c>
      <c r="U39" s="513"/>
      <c r="V39" s="550"/>
      <c r="W39" s="552"/>
      <c r="X39" s="552" t="s">
        <v>1172</v>
      </c>
      <c r="Y39" s="555">
        <f>SUM(Y25:Y38)</f>
        <v>-109.81908655406792</v>
      </c>
      <c r="Z39" s="513"/>
      <c r="AA39" s="552" t="s">
        <v>1173</v>
      </c>
      <c r="AB39" s="556">
        <f>SUM(AB25:AB38)</f>
        <v>4604.5970274931333</v>
      </c>
      <c r="AC39" s="513"/>
      <c r="AD39" s="552" t="s">
        <v>1174</v>
      </c>
      <c r="AE39" s="556">
        <f>SUM(AE25:AE38)</f>
        <v>1832.6747419931364</v>
      </c>
    </row>
    <row r="41" spans="1:31">
      <c r="S41" s="528"/>
    </row>
  </sheetData>
  <pageMargins left="0.7" right="0.7" top="0.75" bottom="0.75" header="0.3" footer="0.3"/>
  <pageSetup orientation="portrait" verticalDpi="1200"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6BFBA9-369F-4A7F-AAF1-5BDDECBF0F5A}">
  <sheetPr filterMode="1">
    <tabColor rgb="FF00B0F0"/>
  </sheetPr>
  <dimension ref="A1:Q910"/>
  <sheetViews>
    <sheetView topLeftCell="B1" zoomScale="115" zoomScaleNormal="115" workbookViewId="0">
      <pane ySplit="1" topLeftCell="A193" activePane="bottomLeft" state="frozen"/>
      <selection pane="bottomLeft" activeCell="G213" sqref="G213"/>
    </sheetView>
  </sheetViews>
  <sheetFormatPr defaultRowHeight="14.4"/>
  <cols>
    <col min="1" max="1" width="7.44140625" style="559" customWidth="1"/>
    <col min="2" max="2" width="10.44140625" bestFit="1" customWidth="1"/>
    <col min="3" max="3" width="12.5546875" bestFit="1" customWidth="1"/>
    <col min="4" max="4" width="44.5546875" customWidth="1"/>
    <col min="5" max="5" width="36.88671875" style="13" bestFit="1" customWidth="1"/>
    <col min="6" max="6" width="14.5546875" customWidth="1"/>
    <col min="7" max="7" width="25.109375" style="559" customWidth="1"/>
    <col min="8" max="8" width="100.44140625" style="559" bestFit="1" customWidth="1"/>
    <col min="9" max="9" width="24.33203125" style="559" customWidth="1"/>
    <col min="10" max="10" width="15.44140625" style="559" customWidth="1"/>
    <col min="11" max="17" width="8.88671875" style="559"/>
  </cols>
  <sheetData>
    <row r="1" spans="1:10">
      <c r="A1" s="557" t="s">
        <v>1137</v>
      </c>
      <c r="B1" s="7" t="s">
        <v>1148</v>
      </c>
      <c r="C1" s="7" t="s">
        <v>1149</v>
      </c>
      <c r="D1" s="7" t="s">
        <v>1175</v>
      </c>
      <c r="E1" s="558" t="s">
        <v>1176</v>
      </c>
      <c r="F1" s="7" t="s">
        <v>1177</v>
      </c>
      <c r="G1" s="557" t="s">
        <v>511</v>
      </c>
      <c r="H1" s="557" t="s">
        <v>1178</v>
      </c>
      <c r="I1" s="557" t="s">
        <v>1179</v>
      </c>
      <c r="J1" s="557" t="s">
        <v>1180</v>
      </c>
    </row>
    <row r="2" spans="1:10" hidden="1">
      <c r="A2" s="559" t="str">
        <f>B2&amp;"_"&amp;C2&amp;"_"&amp;D2&amp;"_"&amp;E2</f>
        <v>Residential_HVAC_Furnace_EFLH</v>
      </c>
      <c r="B2" t="s">
        <v>1165</v>
      </c>
      <c r="C2" t="s">
        <v>95</v>
      </c>
      <c r="D2" t="s">
        <v>70</v>
      </c>
      <c r="E2" s="560" t="s">
        <v>1181</v>
      </c>
      <c r="F2" s="561" t="e">
        <f>INDEX('[18]CZ Inputs'!$G:$G,MATCH($A2&amp;"_"&amp;[18]Dashboard_FS!$K$3,'[18]CZ Inputs'!$A:$A,0))</f>
        <v>#N/A</v>
      </c>
      <c r="G2" s="559" t="s">
        <v>1182</v>
      </c>
      <c r="H2" s="559" t="s">
        <v>1183</v>
      </c>
      <c r="I2" s="559" t="s">
        <v>1184</v>
      </c>
      <c r="J2" s="559" t="b">
        <f>_xlfn.ISFORMULA(F2)</f>
        <v>1</v>
      </c>
    </row>
    <row r="3" spans="1:10" hidden="1">
      <c r="A3" s="559" t="str">
        <f t="shared" ref="A3:A73" si="0">B3&amp;"_"&amp;C3&amp;"_"&amp;D3&amp;"_"&amp;E3</f>
        <v>Residential_HVAC_Air-Source Heat Pump_Capacity_ASHPheat (Btuh_Existing)</v>
      </c>
      <c r="B3" t="s">
        <v>1165</v>
      </c>
      <c r="C3" t="s">
        <v>95</v>
      </c>
      <c r="D3" t="s">
        <v>1185</v>
      </c>
      <c r="E3" s="560" t="s">
        <v>1186</v>
      </c>
      <c r="F3" s="561" t="e">
        <f>[18]Dashboard_FS!$K$10</f>
        <v>#REF!</v>
      </c>
      <c r="G3" s="559" t="s">
        <v>1187</v>
      </c>
      <c r="H3" s="559" t="s">
        <v>1183</v>
      </c>
      <c r="I3" s="559" t="s">
        <v>1184</v>
      </c>
      <c r="J3" s="559" t="b">
        <f t="shared" ref="J3:J80" si="1">_xlfn.ISFORMULA(F3)</f>
        <v>1</v>
      </c>
    </row>
    <row r="4" spans="1:10" hidden="1">
      <c r="A4" s="559" t="str">
        <f t="shared" si="0"/>
        <v>Residential_HVAC_Air-Source Heat Pump_Heat Load Factor</v>
      </c>
      <c r="B4" t="s">
        <v>1165</v>
      </c>
      <c r="C4" t="s">
        <v>95</v>
      </c>
      <c r="D4" t="s">
        <v>1185</v>
      </c>
      <c r="E4" s="560" t="s">
        <v>1188</v>
      </c>
      <c r="F4" s="561" t="e">
        <f>IF([18]Dashboard_FS!$G$10="Partial",INDEX('[18]CZ Inputs'!$G:$G,MATCH(A4&amp;"_"&amp;[18]Dashboard_FS!$K$3,'[18]CZ Inputs'!$A:$A,0)),1)</f>
        <v>#N/A</v>
      </c>
      <c r="G4" s="559" t="s">
        <v>1189</v>
      </c>
      <c r="H4" s="559" t="s">
        <v>1183</v>
      </c>
      <c r="I4" s="559" t="s">
        <v>1184</v>
      </c>
      <c r="J4" s="559" t="b">
        <f t="shared" si="1"/>
        <v>1</v>
      </c>
    </row>
    <row r="5" spans="1:10" hidden="1">
      <c r="A5" s="559" t="str">
        <f t="shared" si="0"/>
        <v>Residential_HVAC_Air-Source Heat Pump_HeatLoad_Disp</v>
      </c>
      <c r="B5" t="s">
        <v>1165</v>
      </c>
      <c r="C5" t="s">
        <v>95</v>
      </c>
      <c r="D5" t="s">
        <v>1185</v>
      </c>
      <c r="E5" s="560" t="s">
        <v>1190</v>
      </c>
      <c r="F5" s="561" t="e">
        <f xml:space="preserve"> F2 * F3 * F4</f>
        <v>#N/A</v>
      </c>
      <c r="H5" s="559" t="s">
        <v>1183</v>
      </c>
      <c r="I5" s="559" t="s">
        <v>1184</v>
      </c>
      <c r="J5" s="559" t="b">
        <f t="shared" si="1"/>
        <v>1</v>
      </c>
    </row>
    <row r="6" spans="1:10" hidden="1">
      <c r="A6" s="559" t="str">
        <f t="shared" si="0"/>
        <v>Residential_HVAC_Air-Source Heat Pump_DuctlessSave</v>
      </c>
      <c r="B6" t="s">
        <v>1165</v>
      </c>
      <c r="C6" t="s">
        <v>95</v>
      </c>
      <c r="D6" t="s">
        <v>1185</v>
      </c>
      <c r="E6" s="562" t="s">
        <v>1191</v>
      </c>
      <c r="F6" s="563">
        <v>1</v>
      </c>
      <c r="G6" s="559" t="s">
        <v>1192</v>
      </c>
      <c r="H6" s="559" t="s">
        <v>1183</v>
      </c>
      <c r="I6" s="559" t="s">
        <v>1184</v>
      </c>
      <c r="J6" s="559" t="b">
        <f t="shared" si="1"/>
        <v>0</v>
      </c>
    </row>
    <row r="7" spans="1:10" hidden="1">
      <c r="A7" s="559" t="str">
        <f t="shared" si="0"/>
        <v>Residential_HVAC_Air-Source Heat Pump_AFUEbase</v>
      </c>
      <c r="B7" t="s">
        <v>1165</v>
      </c>
      <c r="C7" t="s">
        <v>95</v>
      </c>
      <c r="D7" t="s">
        <v>1185</v>
      </c>
      <c r="E7" s="560" t="s">
        <v>1193</v>
      </c>
      <c r="F7" s="561" t="e">
        <f>[18]Dashboard_FS!$K$8</f>
        <v>#REF!</v>
      </c>
      <c r="G7" s="559" t="s">
        <v>1187</v>
      </c>
      <c r="H7" s="559" t="s">
        <v>1183</v>
      </c>
      <c r="I7" s="559" t="s">
        <v>1184</v>
      </c>
      <c r="J7" s="559" t="b">
        <f t="shared" si="1"/>
        <v>1</v>
      </c>
    </row>
    <row r="8" spans="1:10" hidden="1">
      <c r="A8" s="559" t="str">
        <f t="shared" si="0"/>
        <v>Residential_HVAC_Air-Source Heat Pump_1000000</v>
      </c>
      <c r="B8" t="s">
        <v>1165</v>
      </c>
      <c r="C8" t="s">
        <v>95</v>
      </c>
      <c r="D8" t="s">
        <v>1185</v>
      </c>
      <c r="E8" s="562">
        <v>1000000</v>
      </c>
      <c r="F8" s="563">
        <v>1000000</v>
      </c>
      <c r="H8" s="559" t="s">
        <v>1183</v>
      </c>
      <c r="I8" s="559" t="s">
        <v>1184</v>
      </c>
      <c r="J8" s="559" t="b">
        <f t="shared" si="1"/>
        <v>0</v>
      </c>
    </row>
    <row r="9" spans="1:10" hidden="1">
      <c r="A9" s="559" t="str">
        <f t="shared" si="0"/>
        <v>Residential_HVAC_Air-Source Heat Pump_GasHeatReplaced</v>
      </c>
      <c r="B9" t="s">
        <v>1165</v>
      </c>
      <c r="C9" t="s">
        <v>95</v>
      </c>
      <c r="D9" t="s">
        <v>1185</v>
      </c>
      <c r="E9" s="560" t="s">
        <v>1194</v>
      </c>
      <c r="F9" s="561" t="e">
        <f xml:space="preserve"> ( F5 / F6 * 1 / F7 ) / F8</f>
        <v>#N/A</v>
      </c>
      <c r="H9" s="559" t="s">
        <v>1183</v>
      </c>
      <c r="I9" s="559" t="s">
        <v>1184</v>
      </c>
      <c r="J9" s="559" t="b">
        <f t="shared" si="1"/>
        <v>1</v>
      </c>
    </row>
    <row r="10" spans="1:10" hidden="1">
      <c r="A10" s="559" t="str">
        <f t="shared" si="0"/>
        <v>Residential_HVAC_Air-Source Heat Pump_FurnaceFlag</v>
      </c>
      <c r="B10" t="s">
        <v>1165</v>
      </c>
      <c r="C10" t="s">
        <v>95</v>
      </c>
      <c r="D10" t="s">
        <v>1185</v>
      </c>
      <c r="E10" s="562" t="s">
        <v>1195</v>
      </c>
      <c r="F10" s="563">
        <v>1</v>
      </c>
      <c r="G10" s="559" t="s">
        <v>1196</v>
      </c>
      <c r="H10" s="559" t="s">
        <v>1183</v>
      </c>
      <c r="I10" s="559" t="s">
        <v>1184</v>
      </c>
      <c r="J10" s="559" t="b">
        <f t="shared" si="1"/>
        <v>0</v>
      </c>
    </row>
    <row r="11" spans="1:10" hidden="1">
      <c r="A11" s="559" t="str">
        <f t="shared" si="0"/>
        <v>Residential_HVAC_Furnace_EFLH</v>
      </c>
      <c r="B11" t="s">
        <v>1165</v>
      </c>
      <c r="C11" t="s">
        <v>95</v>
      </c>
      <c r="D11" t="s">
        <v>70</v>
      </c>
      <c r="E11" s="560" t="s">
        <v>1181</v>
      </c>
      <c r="F11" s="561" t="e">
        <f>INDEX('[18]CZ Inputs'!$G:$G,MATCH($A11&amp;"_"&amp;[18]Dashboard_FS!$K$3,'[18]CZ Inputs'!$A:$A,0))</f>
        <v>#N/A</v>
      </c>
      <c r="G11" s="559" t="s">
        <v>1182</v>
      </c>
      <c r="H11" s="559" t="s">
        <v>1183</v>
      </c>
      <c r="I11" s="559" t="s">
        <v>1184</v>
      </c>
      <c r="J11" s="559" t="b">
        <f t="shared" si="1"/>
        <v>1</v>
      </c>
    </row>
    <row r="12" spans="1:10" hidden="1">
      <c r="A12" s="559" t="str">
        <f t="shared" si="0"/>
        <v>Residential_HVAC_Air-Source Heat Pump_Capacity_ASHPheat</v>
      </c>
      <c r="B12" t="s">
        <v>1165</v>
      </c>
      <c r="C12" t="s">
        <v>95</v>
      </c>
      <c r="D12" t="s">
        <v>1185</v>
      </c>
      <c r="E12" s="560" t="s">
        <v>1197</v>
      </c>
      <c r="F12" s="561" t="e">
        <f>[18]Dashboard_FS!$K$9</f>
        <v>#REF!</v>
      </c>
      <c r="G12" s="559" t="s">
        <v>1187</v>
      </c>
      <c r="H12" s="559" t="s">
        <v>1183</v>
      </c>
      <c r="I12" s="559" t="s">
        <v>1184</v>
      </c>
      <c r="J12" s="559" t="b">
        <f t="shared" si="1"/>
        <v>1</v>
      </c>
    </row>
    <row r="13" spans="1:10" hidden="1">
      <c r="A13" s="559" t="str">
        <f t="shared" si="0"/>
        <v>Residential_HVAC_Air-Source Heat Pump_Heat Load Factor</v>
      </c>
      <c r="B13" t="s">
        <v>1165</v>
      </c>
      <c r="C13" t="s">
        <v>95</v>
      </c>
      <c r="D13" t="s">
        <v>1185</v>
      </c>
      <c r="E13" s="560" t="s">
        <v>1188</v>
      </c>
      <c r="F13" s="561" t="e">
        <f>IF([18]Dashboard_FS!$G$10="Partial",INDEX('[18]CZ Inputs'!$G:$G,MATCH(A13&amp;"_"&amp;[18]Dashboard_FS!$K$3,'[18]CZ Inputs'!$A:$A,0)),1)</f>
        <v>#N/A</v>
      </c>
      <c r="G13" s="559" t="s">
        <v>1189</v>
      </c>
      <c r="H13" s="559" t="s">
        <v>1183</v>
      </c>
      <c r="I13" s="559" t="s">
        <v>1184</v>
      </c>
      <c r="J13" s="559" t="b">
        <f t="shared" si="1"/>
        <v>1</v>
      </c>
    </row>
    <row r="14" spans="1:10" hidden="1">
      <c r="A14" s="559" t="str">
        <f t="shared" si="0"/>
        <v>Residential_HVAC_Air-Source Heat Pump_HeatLoad_Disp</v>
      </c>
      <c r="B14" t="s">
        <v>1165</v>
      </c>
      <c r="C14" t="s">
        <v>95</v>
      </c>
      <c r="D14" t="s">
        <v>1185</v>
      </c>
      <c r="E14" s="560" t="s">
        <v>1190</v>
      </c>
      <c r="F14" s="561" t="e">
        <f xml:space="preserve"> F11 * F12 * F13</f>
        <v>#N/A</v>
      </c>
      <c r="H14" s="559" t="s">
        <v>1183</v>
      </c>
      <c r="I14" s="559" t="s">
        <v>1184</v>
      </c>
      <c r="J14" s="559" t="b">
        <f t="shared" si="1"/>
        <v>1</v>
      </c>
    </row>
    <row r="15" spans="1:10" hidden="1">
      <c r="A15" s="559" t="str">
        <f t="shared" si="0"/>
        <v>Residential_HVAC_Air-Source Heat Pump_DuctlessSave</v>
      </c>
      <c r="B15" t="s">
        <v>1165</v>
      </c>
      <c r="C15" t="s">
        <v>95</v>
      </c>
      <c r="D15" t="s">
        <v>1185</v>
      </c>
      <c r="E15" s="562" t="s">
        <v>1191</v>
      </c>
      <c r="F15" s="563">
        <v>1</v>
      </c>
      <c r="G15" s="559" t="s">
        <v>1192</v>
      </c>
      <c r="H15" s="559" t="s">
        <v>1183</v>
      </c>
      <c r="I15" s="559" t="s">
        <v>1184</v>
      </c>
      <c r="J15" s="559" t="b">
        <f t="shared" si="1"/>
        <v>0</v>
      </c>
    </row>
    <row r="16" spans="1:10" hidden="1">
      <c r="A16" s="559" t="str">
        <f t="shared" si="0"/>
        <v>Residential_HVAC_Air-Source Heat Pump_AFUEbase</v>
      </c>
      <c r="B16" t="s">
        <v>1165</v>
      </c>
      <c r="C16" t="s">
        <v>95</v>
      </c>
      <c r="D16" t="s">
        <v>1185</v>
      </c>
      <c r="E16" s="560" t="s">
        <v>1193</v>
      </c>
      <c r="F16" s="561" t="e">
        <f>[18]Dashboard_FS!$K$8</f>
        <v>#REF!</v>
      </c>
      <c r="G16" s="559" t="s">
        <v>1187</v>
      </c>
      <c r="H16" s="559" t="s">
        <v>1183</v>
      </c>
      <c r="I16" s="559" t="s">
        <v>1184</v>
      </c>
      <c r="J16" s="559" t="b">
        <f t="shared" si="1"/>
        <v>1</v>
      </c>
    </row>
    <row r="17" spans="1:10" hidden="1">
      <c r="A17" s="559" t="str">
        <f t="shared" si="0"/>
        <v>Residential_HVAC_Air-Source Heat Pump_Fe</v>
      </c>
      <c r="B17" t="s">
        <v>1165</v>
      </c>
      <c r="C17" t="s">
        <v>95</v>
      </c>
      <c r="D17" t="s">
        <v>1185</v>
      </c>
      <c r="E17" s="562" t="s">
        <v>1198</v>
      </c>
      <c r="F17" s="563">
        <v>1.8799999999999997E-2</v>
      </c>
      <c r="H17" s="559" t="s">
        <v>1183</v>
      </c>
      <c r="I17" s="559" t="s">
        <v>1184</v>
      </c>
      <c r="J17" s="559" t="b">
        <f t="shared" si="1"/>
        <v>0</v>
      </c>
    </row>
    <row r="18" spans="1:10" hidden="1">
      <c r="A18" s="559" t="str">
        <f t="shared" si="0"/>
        <v>Residential_HVAC_Air-Source Heat Pump_1000000</v>
      </c>
      <c r="B18" t="s">
        <v>1165</v>
      </c>
      <c r="C18" t="s">
        <v>95</v>
      </c>
      <c r="D18" t="s">
        <v>1185</v>
      </c>
      <c r="E18" s="562">
        <v>1000000</v>
      </c>
      <c r="F18" s="563">
        <v>1000000</v>
      </c>
      <c r="H18" s="559" t="s">
        <v>1183</v>
      </c>
      <c r="I18" s="559" t="s">
        <v>1184</v>
      </c>
      <c r="J18" s="559" t="b">
        <f t="shared" si="1"/>
        <v>0</v>
      </c>
    </row>
    <row r="19" spans="1:10" hidden="1">
      <c r="A19" s="559" t="str">
        <f t="shared" si="0"/>
        <v>Residential_HVAC_Air-Source Heat Pump_FurnaceFanSavings</v>
      </c>
      <c r="B19" t="s">
        <v>1165</v>
      </c>
      <c r="C19" t="s">
        <v>95</v>
      </c>
      <c r="D19" t="s">
        <v>1185</v>
      </c>
      <c r="E19" s="560" t="s">
        <v>1199</v>
      </c>
      <c r="F19" s="561" t="e">
        <f xml:space="preserve"> ( F10 * F14 / F15 * 1 / F16 * F17 ) / F18</f>
        <v>#N/A</v>
      </c>
      <c r="G19" s="559" t="s">
        <v>1200</v>
      </c>
      <c r="H19" s="559" t="s">
        <v>1183</v>
      </c>
      <c r="I19" s="559" t="s">
        <v>1184</v>
      </c>
      <c r="J19" s="559" t="b">
        <f t="shared" si="1"/>
        <v>1</v>
      </c>
    </row>
    <row r="20" spans="1:10" hidden="1">
      <c r="A20" s="559" t="str">
        <f t="shared" si="0"/>
        <v>Residential_HVAC_Air-Source Heat Pump_FLH_ASHPheat</v>
      </c>
      <c r="B20" t="s">
        <v>1165</v>
      </c>
      <c r="C20" t="s">
        <v>95</v>
      </c>
      <c r="D20" t="s">
        <v>1185</v>
      </c>
      <c r="E20" s="560" t="s">
        <v>1201</v>
      </c>
      <c r="F20" s="561" t="e">
        <f>INDEX('[18]CZ Inputs'!$G:$G,MATCH($A20&amp;"_"&amp;[18]Dashboard_FS!$K$3,'[18]CZ Inputs'!$A:$A,0))</f>
        <v>#N/A</v>
      </c>
      <c r="G20" s="559" t="s">
        <v>1182</v>
      </c>
      <c r="H20" s="559" t="s">
        <v>1183</v>
      </c>
      <c r="I20" s="559" t="s">
        <v>1184</v>
      </c>
      <c r="J20" s="559" t="b">
        <f t="shared" si="1"/>
        <v>1</v>
      </c>
    </row>
    <row r="21" spans="1:10" hidden="1">
      <c r="A21" s="559" t="str">
        <f t="shared" si="0"/>
        <v>Residential_HVAC_Air-Source Heat Pump_Capacity_ASHPheat</v>
      </c>
      <c r="B21" t="s">
        <v>1165</v>
      </c>
      <c r="C21" t="s">
        <v>95</v>
      </c>
      <c r="D21" t="s">
        <v>1185</v>
      </c>
      <c r="E21" s="560" t="s">
        <v>1197</v>
      </c>
      <c r="F21" s="561" t="e">
        <f>[18]Dashboard_FS!$K$9</f>
        <v>#REF!</v>
      </c>
      <c r="G21" s="559" t="s">
        <v>1187</v>
      </c>
      <c r="H21" s="559" t="s">
        <v>1183</v>
      </c>
      <c r="I21" s="559" t="s">
        <v>1184</v>
      </c>
      <c r="J21" s="559" t="b">
        <f t="shared" si="1"/>
        <v>1</v>
      </c>
    </row>
    <row r="22" spans="1:10" hidden="1">
      <c r="A22" s="559" t="str">
        <f t="shared" si="0"/>
        <v>Residential_HVAC_Air-Source Heat Pump_Heat Load Factor</v>
      </c>
      <c r="B22" t="s">
        <v>1165</v>
      </c>
      <c r="C22" t="s">
        <v>95</v>
      </c>
      <c r="D22" t="s">
        <v>1185</v>
      </c>
      <c r="E22" s="560" t="s">
        <v>1188</v>
      </c>
      <c r="F22" s="561" t="e">
        <f>IF([18]Dashboard_FS!$G$10="Partial",INDEX('[18]CZ Inputs'!$G:$G,MATCH(A22&amp;"_"&amp;[18]Dashboard_FS!$K$3,'[18]CZ Inputs'!$A:$A,0)),1)</f>
        <v>#N/A</v>
      </c>
      <c r="G22" s="559" t="s">
        <v>1189</v>
      </c>
      <c r="H22" s="559" t="s">
        <v>1183</v>
      </c>
      <c r="I22" s="559" t="s">
        <v>1184</v>
      </c>
      <c r="J22" s="559" t="b">
        <f t="shared" si="1"/>
        <v>1</v>
      </c>
    </row>
    <row r="23" spans="1:10" hidden="1">
      <c r="A23" s="559" t="str">
        <f t="shared" si="0"/>
        <v>Residential_HVAC_Air-Source Heat Pump_HeatLoad_Disp</v>
      </c>
      <c r="B23" t="s">
        <v>1165</v>
      </c>
      <c r="C23" t="s">
        <v>95</v>
      </c>
      <c r="D23" t="s">
        <v>1185</v>
      </c>
      <c r="E23" s="560" t="s">
        <v>1190</v>
      </c>
      <c r="F23" s="561" t="e">
        <f xml:space="preserve"> F20 * F21 * F22</f>
        <v>#N/A</v>
      </c>
      <c r="H23" s="559" t="s">
        <v>1183</v>
      </c>
      <c r="I23" s="559" t="s">
        <v>1184</v>
      </c>
      <c r="J23" s="559" t="b">
        <f t="shared" si="1"/>
        <v>1</v>
      </c>
    </row>
    <row r="24" spans="1:10" hidden="1">
      <c r="A24" s="559" t="str">
        <f t="shared" si="0"/>
        <v>Residential_HVAC_Air-Source Heat Pump_HSPF2_ee</v>
      </c>
      <c r="B24" t="s">
        <v>1165</v>
      </c>
      <c r="C24" t="s">
        <v>95</v>
      </c>
      <c r="D24" t="s">
        <v>1185</v>
      </c>
      <c r="E24" s="560" t="s">
        <v>1202</v>
      </c>
      <c r="F24" s="561" t="e">
        <f>[18]Dashboard_FS!$K$6</f>
        <v>#REF!</v>
      </c>
      <c r="G24" s="559" t="s">
        <v>1187</v>
      </c>
      <c r="H24" s="559" t="s">
        <v>1183</v>
      </c>
      <c r="I24" s="559" t="s">
        <v>1184</v>
      </c>
      <c r="J24" s="559" t="b">
        <f t="shared" si="1"/>
        <v>1</v>
      </c>
    </row>
    <row r="25" spans="1:10" hidden="1">
      <c r="A25" s="559" t="str">
        <f t="shared" si="0"/>
        <v>Residential_HVAC_Air-Source Heat Pump_HSPF2_ClimateAdj</v>
      </c>
      <c r="B25" t="s">
        <v>1165</v>
      </c>
      <c r="C25" t="s">
        <v>95</v>
      </c>
      <c r="D25" t="s">
        <v>1185</v>
      </c>
      <c r="E25" s="560" t="s">
        <v>1203</v>
      </c>
      <c r="F25" s="564">
        <f>IF([18]Dashboard_FS!$G$10="Partial",1,INDEX('[18]CZ Inputs'!$G:$G,MATCH(A25&amp;"_"&amp;[18]Dashboard_FS!$K$3,'[18]CZ Inputs'!$A:$A,0)))</f>
        <v>1</v>
      </c>
      <c r="G25" s="559" t="s">
        <v>1204</v>
      </c>
      <c r="H25" s="559" t="s">
        <v>1183</v>
      </c>
      <c r="I25" s="559" t="s">
        <v>1184</v>
      </c>
      <c r="J25" s="559" t="b">
        <f t="shared" si="1"/>
        <v>1</v>
      </c>
    </row>
    <row r="26" spans="1:10" hidden="1">
      <c r="A26" s="559" t="str">
        <f t="shared" si="0"/>
        <v>Residential_HVAC_Air-Source Heat Pump_PD_Adj</v>
      </c>
      <c r="B26" t="s">
        <v>1165</v>
      </c>
      <c r="C26" t="s">
        <v>95</v>
      </c>
      <c r="D26" t="s">
        <v>1185</v>
      </c>
      <c r="E26" s="562" t="s">
        <v>1205</v>
      </c>
      <c r="F26" s="565" t="e">
        <f>IF([18]Dashboard_FS!$G$10="Partial",INDEX('[18]CZ Inputs'!$G:$G,MATCH(A26&amp;"_"&amp;[18]Dashboard_FS!$K$3,'[18]CZ Inputs'!$A:$A,0)),1)</f>
        <v>#N/A</v>
      </c>
      <c r="G26" s="559" t="s">
        <v>1189</v>
      </c>
      <c r="H26" s="559" t="s">
        <v>1183</v>
      </c>
      <c r="I26" s="559" t="s">
        <v>1184</v>
      </c>
      <c r="J26" s="559" t="b">
        <f t="shared" si="1"/>
        <v>1</v>
      </c>
    </row>
    <row r="27" spans="1:10" hidden="1">
      <c r="A27" s="559" t="str">
        <f t="shared" si="0"/>
        <v>Residential_HVAC_Air-Source Heat Pump_DeratingHeatEff</v>
      </c>
      <c r="B27" t="s">
        <v>1165</v>
      </c>
      <c r="C27" t="s">
        <v>95</v>
      </c>
      <c r="D27" t="s">
        <v>1185</v>
      </c>
      <c r="E27" s="562" t="s">
        <v>1206</v>
      </c>
      <c r="F27" s="563">
        <v>0.1</v>
      </c>
      <c r="G27" s="559" t="s">
        <v>1207</v>
      </c>
      <c r="H27" s="559" t="s">
        <v>1183</v>
      </c>
      <c r="I27" s="559" t="s">
        <v>1184</v>
      </c>
      <c r="J27" s="559" t="b">
        <f t="shared" si="1"/>
        <v>0</v>
      </c>
    </row>
    <row r="28" spans="1:10" hidden="1">
      <c r="A28" s="559" t="str">
        <f t="shared" si="0"/>
        <v>Residential_HVAC_Air-Source Heat Pump_1000</v>
      </c>
      <c r="B28" t="s">
        <v>1165</v>
      </c>
      <c r="C28" t="s">
        <v>95</v>
      </c>
      <c r="D28" t="s">
        <v>1185</v>
      </c>
      <c r="E28" s="562">
        <v>1000</v>
      </c>
      <c r="F28" s="563">
        <v>1000</v>
      </c>
      <c r="H28" s="559" t="s">
        <v>1183</v>
      </c>
      <c r="I28" s="559" t="s">
        <v>1184</v>
      </c>
      <c r="J28" s="559" t="b">
        <f t="shared" si="1"/>
        <v>0</v>
      </c>
    </row>
    <row r="29" spans="1:10" hidden="1">
      <c r="A29" s="559" t="str">
        <f t="shared" si="0"/>
        <v>Residential_HVAC_Air-Source Heat Pump_3412</v>
      </c>
      <c r="B29" t="s">
        <v>1165</v>
      </c>
      <c r="C29" t="s">
        <v>95</v>
      </c>
      <c r="D29" t="s">
        <v>1185</v>
      </c>
      <c r="E29" s="562">
        <v>3412</v>
      </c>
      <c r="F29" s="563">
        <v>3412</v>
      </c>
      <c r="H29" s="559" t="s">
        <v>1183</v>
      </c>
      <c r="I29" s="559" t="s">
        <v>1184</v>
      </c>
      <c r="J29" s="559" t="b">
        <f t="shared" si="1"/>
        <v>0</v>
      </c>
    </row>
    <row r="30" spans="1:10" hidden="1">
      <c r="A30" s="559" t="str">
        <f t="shared" si="0"/>
        <v>Residential_HVAC_Air-Source Heat Pump_1000000</v>
      </c>
      <c r="B30" t="s">
        <v>1165</v>
      </c>
      <c r="C30" t="s">
        <v>95</v>
      </c>
      <c r="D30" t="s">
        <v>1185</v>
      </c>
      <c r="E30" s="562">
        <v>1000000</v>
      </c>
      <c r="F30" s="563">
        <v>1000000</v>
      </c>
      <c r="H30" s="559" t="s">
        <v>1183</v>
      </c>
      <c r="I30" s="559" t="s">
        <v>1184</v>
      </c>
      <c r="J30" s="559" t="b">
        <f t="shared" si="1"/>
        <v>0</v>
      </c>
    </row>
    <row r="31" spans="1:10" hidden="1">
      <c r="A31" s="559" t="str">
        <f t="shared" si="0"/>
        <v>Residential_HVAC_Air-Source Heat Pump_ASHPSiteHeatConsumed</v>
      </c>
      <c r="B31" t="s">
        <v>1165</v>
      </c>
      <c r="C31" t="s">
        <v>95</v>
      </c>
      <c r="D31" t="s">
        <v>1185</v>
      </c>
      <c r="E31" s="560" t="s">
        <v>1208</v>
      </c>
      <c r="F31" s="561" t="e">
        <f xml:space="preserve"> -(( F23 * (1/( F24 * F25 * F26 * (1 - F27 )))) / F28 * F29 )/ F30</f>
        <v>#N/A</v>
      </c>
      <c r="H31" s="559" t="s">
        <v>1183</v>
      </c>
      <c r="I31" s="559" t="s">
        <v>1184</v>
      </c>
      <c r="J31" s="559" t="b">
        <f t="shared" si="1"/>
        <v>1</v>
      </c>
    </row>
    <row r="32" spans="1:10" hidden="1">
      <c r="A32" s="559" t="str">
        <f t="shared" si="0"/>
        <v>Residential_HVAC_Air-Source Heat Pump_FLHcool</v>
      </c>
      <c r="B32" t="s">
        <v>1165</v>
      </c>
      <c r="C32" t="s">
        <v>95</v>
      </c>
      <c r="D32" t="s">
        <v>1185</v>
      </c>
      <c r="E32" s="560" t="s">
        <v>1209</v>
      </c>
      <c r="F32" s="561" t="e">
        <f>INDEX('[18]CZ Inputs'!$G:$G,MATCH($A32&amp;"_"&amp;[18]Dashboard_FS!$K$3,'[18]CZ Inputs'!$A:$A,0))</f>
        <v>#N/A</v>
      </c>
      <c r="G32" s="559" t="s">
        <v>1182</v>
      </c>
      <c r="H32" s="559" t="s">
        <v>1183</v>
      </c>
      <c r="I32" s="559" t="s">
        <v>1184</v>
      </c>
      <c r="J32" s="559" t="b">
        <f t="shared" si="1"/>
        <v>1</v>
      </c>
    </row>
    <row r="33" spans="1:10" hidden="1">
      <c r="A33" s="559" t="str">
        <f t="shared" si="0"/>
        <v>Residential_HVAC_Air-Source Heat Pump_Capacity_ASHPcool</v>
      </c>
      <c r="B33" t="s">
        <v>1165</v>
      </c>
      <c r="C33" t="s">
        <v>95</v>
      </c>
      <c r="D33" t="s">
        <v>1185</v>
      </c>
      <c r="E33" s="560" t="s">
        <v>1210</v>
      </c>
      <c r="F33" s="561" t="e">
        <f>[18]Dashboard_FS!$K$15</f>
        <v>#REF!</v>
      </c>
      <c r="H33" s="559" t="s">
        <v>1183</v>
      </c>
      <c r="I33" s="559" t="s">
        <v>1184</v>
      </c>
      <c r="J33" s="559" t="b">
        <f t="shared" si="1"/>
        <v>1</v>
      </c>
    </row>
    <row r="34" spans="1:10" hidden="1">
      <c r="A34" s="559" t="str">
        <f t="shared" si="0"/>
        <v>Residential_HVAC_Air-Source Heat Pump_CoolingLoad</v>
      </c>
      <c r="B34" t="s">
        <v>1165</v>
      </c>
      <c r="C34" t="s">
        <v>95</v>
      </c>
      <c r="D34" t="s">
        <v>1185</v>
      </c>
      <c r="E34" s="560" t="s">
        <v>1211</v>
      </c>
      <c r="F34" s="561" t="e">
        <f>F32*F33</f>
        <v>#N/A</v>
      </c>
      <c r="H34" s="559" t="s">
        <v>1183</v>
      </c>
      <c r="I34" s="559" t="s">
        <v>1184</v>
      </c>
      <c r="J34" s="559" t="b">
        <f t="shared" si="1"/>
        <v>1</v>
      </c>
    </row>
    <row r="35" spans="1:10" hidden="1">
      <c r="A35" s="559" t="str">
        <f t="shared" si="0"/>
        <v>Residential_HVAC_Air-Source Heat Pump_DuctlessSave</v>
      </c>
      <c r="B35" t="s">
        <v>1165</v>
      </c>
      <c r="C35" t="s">
        <v>95</v>
      </c>
      <c r="D35" t="s">
        <v>1185</v>
      </c>
      <c r="E35" s="562" t="s">
        <v>1191</v>
      </c>
      <c r="F35" s="563">
        <v>1</v>
      </c>
      <c r="G35" s="559" t="s">
        <v>1192</v>
      </c>
      <c r="H35" s="559" t="s">
        <v>1183</v>
      </c>
      <c r="I35" s="559" t="s">
        <v>1184</v>
      </c>
      <c r="J35" s="559" t="b">
        <f t="shared" si="1"/>
        <v>0</v>
      </c>
    </row>
    <row r="36" spans="1:10" hidden="1">
      <c r="A36" s="559" t="str">
        <f t="shared" si="0"/>
        <v>Residential_HVAC_Air-Source Heat Pump_SEER2_base</v>
      </c>
      <c r="B36" t="s">
        <v>1165</v>
      </c>
      <c r="C36" t="s">
        <v>95</v>
      </c>
      <c r="D36" t="s">
        <v>1185</v>
      </c>
      <c r="E36" s="560" t="s">
        <v>1212</v>
      </c>
      <c r="F36" s="561" t="e">
        <f>[18]Dashboard_FS!$K$14</f>
        <v>#REF!</v>
      </c>
      <c r="G36" s="559" t="s">
        <v>1187</v>
      </c>
      <c r="H36" s="559" t="s">
        <v>1183</v>
      </c>
      <c r="I36" s="559" t="s">
        <v>1184</v>
      </c>
      <c r="J36" s="559" t="b">
        <f t="shared" si="1"/>
        <v>1</v>
      </c>
    </row>
    <row r="37" spans="1:10" hidden="1">
      <c r="A37" s="559" t="str">
        <f t="shared" si="0"/>
        <v>Residential_HVAC_Air-Source Heat Pump_DeratingCoolBase</v>
      </c>
      <c r="B37" t="s">
        <v>1165</v>
      </c>
      <c r="C37" t="s">
        <v>95</v>
      </c>
      <c r="D37" t="s">
        <v>1185</v>
      </c>
      <c r="E37" s="562" t="s">
        <v>1213</v>
      </c>
      <c r="F37" s="563">
        <v>0.1</v>
      </c>
      <c r="H37" s="559" t="s">
        <v>1183</v>
      </c>
      <c r="I37" s="559" t="s">
        <v>1184</v>
      </c>
      <c r="J37" s="559" t="b">
        <f t="shared" si="1"/>
        <v>0</v>
      </c>
    </row>
    <row r="38" spans="1:10" hidden="1">
      <c r="A38" s="559" t="str">
        <f t="shared" si="0"/>
        <v>Residential_HVAC_Air-Source Heat Pump_SEER2_ee</v>
      </c>
      <c r="B38" t="s">
        <v>1165</v>
      </c>
      <c r="C38" t="s">
        <v>95</v>
      </c>
      <c r="D38" t="s">
        <v>1185</v>
      </c>
      <c r="E38" s="560" t="s">
        <v>1214</v>
      </c>
      <c r="F38" s="561" t="e">
        <f>[18]Dashboard_FS!$K$13</f>
        <v>#REF!</v>
      </c>
      <c r="G38" s="559" t="s">
        <v>1187</v>
      </c>
      <c r="H38" s="559" t="s">
        <v>1183</v>
      </c>
      <c r="I38" s="559" t="s">
        <v>1184</v>
      </c>
      <c r="J38" s="559" t="b">
        <f t="shared" si="1"/>
        <v>1</v>
      </c>
    </row>
    <row r="39" spans="1:10" hidden="1">
      <c r="A39" s="559" t="str">
        <f t="shared" si="0"/>
        <v>Residential_HVAC_Air-Source Heat Pump_DeratingCoolEff</v>
      </c>
      <c r="B39" t="s">
        <v>1165</v>
      </c>
      <c r="C39" t="s">
        <v>95</v>
      </c>
      <c r="D39" t="s">
        <v>1185</v>
      </c>
      <c r="E39" s="562" t="s">
        <v>1215</v>
      </c>
      <c r="F39" s="563">
        <v>0.1</v>
      </c>
      <c r="G39" s="559" t="s">
        <v>1207</v>
      </c>
      <c r="H39" s="559" t="s">
        <v>1183</v>
      </c>
      <c r="I39" s="559" t="s">
        <v>1184</v>
      </c>
      <c r="J39" s="559" t="b">
        <f t="shared" si="1"/>
        <v>0</v>
      </c>
    </row>
    <row r="40" spans="1:10" hidden="1">
      <c r="A40" s="559" t="str">
        <f t="shared" si="0"/>
        <v>Residential_HVAC_Air-Source Heat Pump_1000</v>
      </c>
      <c r="B40" t="s">
        <v>1165</v>
      </c>
      <c r="C40" t="s">
        <v>95</v>
      </c>
      <c r="D40" t="s">
        <v>1185</v>
      </c>
      <c r="E40" s="562">
        <v>1000</v>
      </c>
      <c r="F40" s="563">
        <v>1000</v>
      </c>
      <c r="H40" s="559" t="s">
        <v>1183</v>
      </c>
      <c r="I40" s="559" t="s">
        <v>1184</v>
      </c>
      <c r="J40" s="559" t="b">
        <f t="shared" si="1"/>
        <v>0</v>
      </c>
    </row>
    <row r="41" spans="1:10" hidden="1">
      <c r="A41" s="559" t="str">
        <f t="shared" si="0"/>
        <v>Residential_HVAC_Air-Source Heat Pump_3412</v>
      </c>
      <c r="B41" t="s">
        <v>1165</v>
      </c>
      <c r="C41" t="s">
        <v>95</v>
      </c>
      <c r="D41" t="s">
        <v>1185</v>
      </c>
      <c r="E41" s="562">
        <v>3412</v>
      </c>
      <c r="F41" s="563">
        <v>3412</v>
      </c>
      <c r="H41" s="559" t="s">
        <v>1183</v>
      </c>
      <c r="I41" s="559" t="s">
        <v>1184</v>
      </c>
      <c r="J41" s="559" t="b">
        <f t="shared" si="1"/>
        <v>0</v>
      </c>
    </row>
    <row r="42" spans="1:10" hidden="1">
      <c r="A42" s="559" t="str">
        <f t="shared" si="0"/>
        <v>Residential_HVAC_Air-Source Heat Pump_1000000</v>
      </c>
      <c r="B42" t="s">
        <v>1165</v>
      </c>
      <c r="C42" t="s">
        <v>95</v>
      </c>
      <c r="D42" t="s">
        <v>1185</v>
      </c>
      <c r="E42" s="562">
        <v>1000000</v>
      </c>
      <c r="F42" s="563">
        <v>1000000</v>
      </c>
      <c r="H42" s="559" t="s">
        <v>1183</v>
      </c>
      <c r="I42" s="559" t="s">
        <v>1184</v>
      </c>
      <c r="J42" s="559" t="b">
        <f t="shared" si="1"/>
        <v>0</v>
      </c>
    </row>
    <row r="43" spans="1:10" hidden="1">
      <c r="A43" s="559" t="str">
        <f t="shared" si="0"/>
        <v>Residential_HVAC_Air-Source Heat Pump_ASHPSiteCoolingImpact</v>
      </c>
      <c r="B43" t="s">
        <v>1165</v>
      </c>
      <c r="C43" t="s">
        <v>95</v>
      </c>
      <c r="D43" t="s">
        <v>1185</v>
      </c>
      <c r="E43" s="560" t="s">
        <v>1216</v>
      </c>
      <c r="F43" s="566" t="e">
        <f xml:space="preserve"> (( F34 / F35 * (IF([18]Dashboard_FS!$K$16="Yes",1/(F36 * (1 - F37)),0) - 1/( F38 * (1 - F39 ))))/ F40 * F41 ) / F42</f>
        <v>#N/A</v>
      </c>
      <c r="H43" s="559" t="s">
        <v>1183</v>
      </c>
      <c r="I43" s="559" t="s">
        <v>1184</v>
      </c>
      <c r="J43" s="559" t="b">
        <f t="shared" si="1"/>
        <v>1</v>
      </c>
    </row>
    <row r="44" spans="1:10" hidden="1">
      <c r="A44" s="559" t="str">
        <f t="shared" si="0"/>
        <v>Residential_HVAC_Air-Source Heat Pump_BTU_NewSiteCoolingImpact</v>
      </c>
      <c r="B44" t="s">
        <v>1165</v>
      </c>
      <c r="C44" t="s">
        <v>95</v>
      </c>
      <c r="D44" t="s">
        <v>1185</v>
      </c>
      <c r="E44" s="560" t="s">
        <v>1217</v>
      </c>
      <c r="F44" s="566" t="e">
        <f xml:space="preserve"> - ((( F34 / F35 * (0 - 1 / (F38 * (1 - F39 ))))/ F40 * F41 ) / F42)*10^6</f>
        <v>#N/A</v>
      </c>
      <c r="H44" s="559" t="s">
        <v>1183</v>
      </c>
      <c r="I44" s="559" t="s">
        <v>1184</v>
      </c>
      <c r="J44" s="559" t="b">
        <f t="shared" si="1"/>
        <v>1</v>
      </c>
    </row>
    <row r="45" spans="1:10" hidden="1">
      <c r="A45" s="559" t="str">
        <f t="shared" si="0"/>
        <v>Residential_HVAC_Air-Source Heat Pump_SiteEnergySavings (MMBTUs)</v>
      </c>
      <c r="B45" t="s">
        <v>1165</v>
      </c>
      <c r="C45" t="s">
        <v>95</v>
      </c>
      <c r="D45" t="s">
        <v>1185</v>
      </c>
      <c r="E45" s="567" t="s">
        <v>1218</v>
      </c>
      <c r="F45" s="561" t="e">
        <f xml:space="preserve"> F9 + F19 + F31 + F43</f>
        <v>#N/A</v>
      </c>
      <c r="H45" s="559" t="s">
        <v>1183</v>
      </c>
      <c r="I45" s="559" t="s">
        <v>1184</v>
      </c>
      <c r="J45" s="559" t="b">
        <f t="shared" si="1"/>
        <v>1</v>
      </c>
    </row>
    <row r="46" spans="1:10" hidden="1">
      <c r="A46" s="559" t="str">
        <f t="shared" si="0"/>
        <v>Residential_HVAC_Air-Source Heat Pump_Capacity_cooling</v>
      </c>
      <c r="B46" t="s">
        <v>1165</v>
      </c>
      <c r="C46" t="s">
        <v>95</v>
      </c>
      <c r="D46" t="s">
        <v>1185</v>
      </c>
      <c r="E46" s="562" t="s">
        <v>1219</v>
      </c>
      <c r="F46" s="563">
        <v>36000</v>
      </c>
      <c r="G46" s="559" t="s">
        <v>1220</v>
      </c>
      <c r="H46" s="559" t="s">
        <v>1183</v>
      </c>
      <c r="I46" s="559" t="s">
        <v>1184</v>
      </c>
      <c r="J46" s="559" t="b">
        <f t="shared" si="1"/>
        <v>0</v>
      </c>
    </row>
    <row r="47" spans="1:10" hidden="1">
      <c r="A47" s="559" t="str">
        <f t="shared" si="0"/>
        <v>Residential_HVAC_Air-Source Heat Pump_EER_base</v>
      </c>
      <c r="B47" t="s">
        <v>1165</v>
      </c>
      <c r="C47" t="s">
        <v>95</v>
      </c>
      <c r="D47" t="s">
        <v>1185</v>
      </c>
      <c r="E47" s="562" t="s">
        <v>1221</v>
      </c>
      <c r="F47" s="563">
        <v>10.5</v>
      </c>
      <c r="G47" s="559" t="s">
        <v>1222</v>
      </c>
      <c r="H47" s="559" t="s">
        <v>1183</v>
      </c>
      <c r="I47" s="559" t="s">
        <v>1184</v>
      </c>
      <c r="J47" s="559" t="b">
        <f t="shared" si="1"/>
        <v>0</v>
      </c>
    </row>
    <row r="48" spans="1:10" hidden="1">
      <c r="A48" s="559" t="str">
        <f t="shared" si="0"/>
        <v>Residential_HVAC_Air-Source Heat Pump_DeratingCoolBase</v>
      </c>
      <c r="B48" t="s">
        <v>1165</v>
      </c>
      <c r="C48" t="s">
        <v>95</v>
      </c>
      <c r="D48" t="s">
        <v>1185</v>
      </c>
      <c r="E48" s="562" t="s">
        <v>1213</v>
      </c>
      <c r="F48" s="563">
        <v>0.1</v>
      </c>
      <c r="H48" s="559" t="s">
        <v>1183</v>
      </c>
      <c r="I48" s="559" t="s">
        <v>1184</v>
      </c>
      <c r="J48" s="559" t="b">
        <f t="shared" si="1"/>
        <v>0</v>
      </c>
    </row>
    <row r="49" spans="1:10" hidden="1">
      <c r="A49" s="559" t="str">
        <f t="shared" si="0"/>
        <v>Residential_HVAC_Air-Source Heat Pump_EER_ee</v>
      </c>
      <c r="B49" t="s">
        <v>1165</v>
      </c>
      <c r="C49" t="s">
        <v>95</v>
      </c>
      <c r="D49" t="s">
        <v>1185</v>
      </c>
      <c r="E49" s="562" t="s">
        <v>1223</v>
      </c>
      <c r="F49" s="563">
        <v>12.5</v>
      </c>
      <c r="H49" s="559" t="s">
        <v>1183</v>
      </c>
      <c r="I49" s="559" t="s">
        <v>1184</v>
      </c>
      <c r="J49" s="559" t="b">
        <f t="shared" si="1"/>
        <v>0</v>
      </c>
    </row>
    <row r="50" spans="1:10" hidden="1">
      <c r="A50" s="559" t="str">
        <f t="shared" si="0"/>
        <v>Residential_HVAC_Air-Source Heat Pump_DeratingCoolEff</v>
      </c>
      <c r="B50" t="s">
        <v>1165</v>
      </c>
      <c r="C50" t="s">
        <v>95</v>
      </c>
      <c r="D50" t="s">
        <v>1185</v>
      </c>
      <c r="E50" s="562" t="s">
        <v>1215</v>
      </c>
      <c r="F50" s="563">
        <v>0.1</v>
      </c>
      <c r="H50" s="559" t="s">
        <v>1183</v>
      </c>
      <c r="I50" s="559" t="s">
        <v>1184</v>
      </c>
      <c r="J50" s="559" t="b">
        <f t="shared" si="1"/>
        <v>0</v>
      </c>
    </row>
    <row r="51" spans="1:10" hidden="1">
      <c r="A51" s="559" t="str">
        <f t="shared" si="0"/>
        <v>Residential_HVAC_Air-Source Heat Pump_1000</v>
      </c>
      <c r="B51" t="s">
        <v>1165</v>
      </c>
      <c r="C51" t="s">
        <v>95</v>
      </c>
      <c r="D51" t="s">
        <v>1185</v>
      </c>
      <c r="E51" s="562">
        <v>1000</v>
      </c>
      <c r="F51" s="563">
        <v>1000</v>
      </c>
      <c r="H51" s="559" t="s">
        <v>1183</v>
      </c>
      <c r="I51" s="559" t="s">
        <v>1184</v>
      </c>
      <c r="J51" s="559" t="b">
        <f t="shared" si="1"/>
        <v>0</v>
      </c>
    </row>
    <row r="52" spans="1:10" hidden="1">
      <c r="A52" s="559" t="str">
        <f t="shared" si="0"/>
        <v>Residential_HVAC_Air-Source Heat Pump_CF</v>
      </c>
      <c r="B52" t="s">
        <v>1165</v>
      </c>
      <c r="C52" t="s">
        <v>95</v>
      </c>
      <c r="D52" t="s">
        <v>1185</v>
      </c>
      <c r="E52" s="562" t="s">
        <v>1224</v>
      </c>
      <c r="F52" s="563">
        <v>0.72</v>
      </c>
      <c r="G52" s="559" t="s">
        <v>1225</v>
      </c>
      <c r="H52" s="559" t="s">
        <v>1183</v>
      </c>
      <c r="I52" s="559" t="s">
        <v>1184</v>
      </c>
      <c r="J52" s="559" t="b">
        <f t="shared" si="1"/>
        <v>0</v>
      </c>
    </row>
    <row r="53" spans="1:10" hidden="1">
      <c r="A53" s="559" t="str">
        <f t="shared" si="0"/>
        <v>Residential_HVAC_Air-Source Heat Pump_Delta_kW</v>
      </c>
      <c r="B53" t="s">
        <v>1165</v>
      </c>
      <c r="C53" t="s">
        <v>95</v>
      </c>
      <c r="D53" t="s">
        <v>1185</v>
      </c>
      <c r="E53" s="560" t="s">
        <v>1226</v>
      </c>
      <c r="F53" s="561">
        <f xml:space="preserve"> ( F46 * (1/( F47 * (1 - F48 )) - 1/( F49 * (1 - F50 )))) / F51 * F52</f>
        <v>0.43885714285714256</v>
      </c>
      <c r="H53" s="559" t="s">
        <v>1183</v>
      </c>
      <c r="I53" s="559" t="s">
        <v>1184</v>
      </c>
      <c r="J53" s="559" t="b">
        <f t="shared" si="1"/>
        <v>1</v>
      </c>
    </row>
    <row r="54" spans="1:10" hidden="1">
      <c r="A54" s="559" t="str">
        <f t="shared" si="0"/>
        <v>Residential_HVAC_Air-Source Heat Pump_kWh Saved per Unit</v>
      </c>
      <c r="B54" t="s">
        <v>1165</v>
      </c>
      <c r="C54" t="s">
        <v>95</v>
      </c>
      <c r="D54" t="s">
        <v>1185</v>
      </c>
      <c r="E54" s="568" t="s">
        <v>1227</v>
      </c>
      <c r="F54" s="569" t="e">
        <f>((F19+F31+F43)*10^6)/3412</f>
        <v>#N/A</v>
      </c>
      <c r="H54" s="559" t="s">
        <v>1183</v>
      </c>
      <c r="I54" s="559" t="s">
        <v>1184</v>
      </c>
      <c r="J54" s="559" t="b">
        <f t="shared" si="1"/>
        <v>1</v>
      </c>
    </row>
    <row r="55" spans="1:10" hidden="1">
      <c r="A55" s="559" t="str">
        <f t="shared" si="0"/>
        <v>Residential_HVAC_Air-Source Heat Pump_Coincident Peak kW Saved per Unit</v>
      </c>
      <c r="B55" t="s">
        <v>1165</v>
      </c>
      <c r="C55" t="s">
        <v>95</v>
      </c>
      <c r="D55" t="s">
        <v>1185</v>
      </c>
      <c r="E55" s="568" t="s">
        <v>1228</v>
      </c>
      <c r="F55" s="569">
        <f>F53</f>
        <v>0.43885714285714256</v>
      </c>
      <c r="H55" s="559" t="s">
        <v>1183</v>
      </c>
      <c r="I55" s="559" t="s">
        <v>1184</v>
      </c>
      <c r="J55" s="559" t="b">
        <f t="shared" si="1"/>
        <v>1</v>
      </c>
    </row>
    <row r="56" spans="1:10" hidden="1">
      <c r="A56" s="559" t="str">
        <f t="shared" si="0"/>
        <v>Residential_HVAC_Air-Source Heat Pump_Propane Gal Saved per Unit</v>
      </c>
      <c r="B56" t="s">
        <v>1165</v>
      </c>
      <c r="C56" t="s">
        <v>95</v>
      </c>
      <c r="D56" t="s">
        <v>1185</v>
      </c>
      <c r="E56" s="568" t="s">
        <v>1229</v>
      </c>
      <c r="F56" s="569" t="e">
        <f>(F9*10^6)/91333</f>
        <v>#N/A</v>
      </c>
      <c r="G56" s="559" t="s">
        <v>1230</v>
      </c>
      <c r="H56" s="559" t="s">
        <v>1183</v>
      </c>
      <c r="I56" s="559" t="s">
        <v>1184</v>
      </c>
      <c r="J56" s="559" t="b">
        <f t="shared" si="1"/>
        <v>1</v>
      </c>
    </row>
    <row r="57" spans="1:10" hidden="1">
      <c r="A57" s="559" t="str">
        <f t="shared" si="0"/>
        <v>Residential_HVAC_Air-Source Heat Pump_Lifetime (years)</v>
      </c>
      <c r="B57" t="s">
        <v>1165</v>
      </c>
      <c r="C57" t="s">
        <v>95</v>
      </c>
      <c r="D57" t="s">
        <v>1185</v>
      </c>
      <c r="E57" s="568" t="s">
        <v>1231</v>
      </c>
      <c r="F57" s="569">
        <v>16</v>
      </c>
      <c r="H57" s="559" t="s">
        <v>1183</v>
      </c>
      <c r="I57" s="559" t="s">
        <v>1184</v>
      </c>
      <c r="J57" s="559" t="b">
        <f t="shared" si="1"/>
        <v>0</v>
      </c>
    </row>
    <row r="58" spans="1:10" hidden="1">
      <c r="A58" s="559" t="str">
        <f t="shared" si="0"/>
        <v>Residential_HVAC_Air-Source Heat Pump_Incremental Cost</v>
      </c>
      <c r="B58" t="s">
        <v>1165</v>
      </c>
      <c r="C58" t="s">
        <v>95</v>
      </c>
      <c r="D58" t="s">
        <v>1185</v>
      </c>
      <c r="E58" s="568" t="s">
        <v>1232</v>
      </c>
      <c r="F58" s="570">
        <f xml:space="preserve"> 8750 + 3750</f>
        <v>12500</v>
      </c>
      <c r="G58" s="559" t="s">
        <v>1233</v>
      </c>
      <c r="H58" s="559" t="s">
        <v>1183</v>
      </c>
      <c r="I58" s="559" t="s">
        <v>1184</v>
      </c>
      <c r="J58" s="559" t="b">
        <f t="shared" si="1"/>
        <v>1</v>
      </c>
    </row>
    <row r="59" spans="1:10" hidden="1">
      <c r="A59" s="559" t="str">
        <f t="shared" si="0"/>
        <v>Residential_HVAC_Air-Source Heat Pump_BTU Impact_Existing_Fossil Fuel</v>
      </c>
      <c r="B59" t="s">
        <v>1165</v>
      </c>
      <c r="C59" t="s">
        <v>95</v>
      </c>
      <c r="D59" t="s">
        <v>1185</v>
      </c>
      <c r="E59" s="568" t="s">
        <v>1234</v>
      </c>
      <c r="F59" s="569" t="e">
        <f>-F9*10^6</f>
        <v>#N/A</v>
      </c>
      <c r="H59" s="559" t="s">
        <v>1183</v>
      </c>
      <c r="I59" s="559" t="s">
        <v>1184</v>
      </c>
      <c r="J59" s="559" t="b">
        <f t="shared" si="1"/>
        <v>1</v>
      </c>
    </row>
    <row r="60" spans="1:10" hidden="1">
      <c r="A60" s="559" t="str">
        <f t="shared" si="0"/>
        <v>Residential_HVAC_Air-Source Heat Pump_BTU Impact_Existing_Winter Electricity</v>
      </c>
      <c r="B60" t="s">
        <v>1165</v>
      </c>
      <c r="C60" t="s">
        <v>95</v>
      </c>
      <c r="D60" t="s">
        <v>1185</v>
      </c>
      <c r="E60" s="568" t="s">
        <v>1235</v>
      </c>
      <c r="F60" s="569" t="e">
        <f>-F19*10^6</f>
        <v>#N/A</v>
      </c>
      <c r="H60" s="559" t="s">
        <v>1183</v>
      </c>
      <c r="I60" s="559" t="s">
        <v>1184</v>
      </c>
      <c r="J60" s="559" t="b">
        <f t="shared" si="1"/>
        <v>1</v>
      </c>
    </row>
    <row r="61" spans="1:10" hidden="1">
      <c r="A61" s="559" t="str">
        <f t="shared" si="0"/>
        <v>Residential_HVAC_Air-Source Heat Pump_BTU Impact_Existing_Summer Electricity</v>
      </c>
      <c r="B61" t="s">
        <v>1165</v>
      </c>
      <c r="C61" t="s">
        <v>95</v>
      </c>
      <c r="D61" t="s">
        <v>1185</v>
      </c>
      <c r="E61" s="568" t="s">
        <v>1236</v>
      </c>
      <c r="F61" s="569" t="e">
        <f xml:space="preserve"> -((( F34 / F35 * (IF([18]Dashboard_FS!$K$16="Yes",1/(F36 * (1 - F37)),0) - 0))/ F40 * F41 ) / F42)*10^6</f>
        <v>#N/A</v>
      </c>
      <c r="H61" s="559" t="s">
        <v>1183</v>
      </c>
      <c r="I61" s="559" t="s">
        <v>1184</v>
      </c>
      <c r="J61" s="559" t="b">
        <f t="shared" si="1"/>
        <v>1</v>
      </c>
    </row>
    <row r="62" spans="1:10" hidden="1">
      <c r="A62" s="559" t="str">
        <f t="shared" si="0"/>
        <v>Residential_HVAC_Air-Source Heat Pump_BTU Impact_New_Fossil Fuel</v>
      </c>
      <c r="B62" t="s">
        <v>1165</v>
      </c>
      <c r="C62" t="s">
        <v>95</v>
      </c>
      <c r="D62" t="s">
        <v>1185</v>
      </c>
      <c r="E62" s="568" t="s">
        <v>1237</v>
      </c>
      <c r="F62" s="569">
        <v>0</v>
      </c>
      <c r="H62" s="559" t="s">
        <v>1183</v>
      </c>
      <c r="I62" s="559" t="s">
        <v>1184</v>
      </c>
      <c r="J62" s="559" t="b">
        <f t="shared" si="1"/>
        <v>0</v>
      </c>
    </row>
    <row r="63" spans="1:10" hidden="1">
      <c r="A63" s="559" t="str">
        <f t="shared" si="0"/>
        <v>Residential_HVAC_Air-Source Heat Pump_BTU Impact_New_Winter Electricity</v>
      </c>
      <c r="B63" t="s">
        <v>1165</v>
      </c>
      <c r="C63" t="s">
        <v>95</v>
      </c>
      <c r="D63" t="s">
        <v>1185</v>
      </c>
      <c r="E63" s="568" t="s">
        <v>1238</v>
      </c>
      <c r="F63" s="569" t="e">
        <f>-F31*10^6</f>
        <v>#N/A</v>
      </c>
      <c r="H63" s="559" t="s">
        <v>1183</v>
      </c>
      <c r="I63" s="559" t="s">
        <v>1184</v>
      </c>
      <c r="J63" s="559" t="b">
        <f t="shared" si="1"/>
        <v>1</v>
      </c>
    </row>
    <row r="64" spans="1:10" hidden="1">
      <c r="A64" s="559" t="str">
        <f t="shared" si="0"/>
        <v>Residential_HVAC_Air-Source Heat Pump_BTU Impact_New_Summer Electricity</v>
      </c>
      <c r="B64" t="s">
        <v>1165</v>
      </c>
      <c r="C64" t="s">
        <v>95</v>
      </c>
      <c r="D64" t="s">
        <v>1185</v>
      </c>
      <c r="E64" s="568" t="s">
        <v>1239</v>
      </c>
      <c r="F64" s="569" t="e">
        <f xml:space="preserve"> - ((( F34 / F35 * (0 - 1/( F38 * (1 - F39 ))))/ F40 * F41 ) / F42)*10^6</f>
        <v>#N/A</v>
      </c>
      <c r="H64" s="559" t="s">
        <v>1183</v>
      </c>
      <c r="I64" s="559" t="s">
        <v>1184</v>
      </c>
      <c r="J64" s="559" t="b">
        <f t="shared" si="1"/>
        <v>1</v>
      </c>
    </row>
    <row r="65" spans="1:10" hidden="1">
      <c r="A65" s="559" t="str">
        <f t="shared" si="0"/>
        <v>Residential_HVAC_Air-Source Heat Pump_</v>
      </c>
      <c r="B65" t="s">
        <v>1165</v>
      </c>
      <c r="C65" t="s">
        <v>95</v>
      </c>
      <c r="D65" t="s">
        <v>1185</v>
      </c>
      <c r="J65" s="559" t="b">
        <f t="shared" si="1"/>
        <v>0</v>
      </c>
    </row>
    <row r="66" spans="1:10" hidden="1">
      <c r="A66" s="559" t="str">
        <f t="shared" si="0"/>
        <v>Residential_HVAC_Boiler_EFLH</v>
      </c>
      <c r="B66" t="s">
        <v>1165</v>
      </c>
      <c r="C66" t="s">
        <v>95</v>
      </c>
      <c r="D66" t="s">
        <v>72</v>
      </c>
      <c r="E66" s="560" t="s">
        <v>1181</v>
      </c>
      <c r="F66" s="561" t="e">
        <f>INDEX('[18]CZ Inputs'!$G:$G,MATCH($A66&amp;"_"&amp;[18]Dashboard_FS!$K$3,'[18]CZ Inputs'!$A:$A,0))</f>
        <v>#N/A</v>
      </c>
      <c r="G66" s="559" t="s">
        <v>1240</v>
      </c>
      <c r="H66" s="559" t="s">
        <v>1183</v>
      </c>
      <c r="I66" s="559" t="s">
        <v>1184</v>
      </c>
      <c r="J66" s="559" t="b">
        <f t="shared" si="1"/>
        <v>1</v>
      </c>
    </row>
    <row r="67" spans="1:10" hidden="1">
      <c r="A67" s="559" t="str">
        <f t="shared" si="0"/>
        <v>Residential_HVAC_Ductless Heat Pump_Capacity_DMSHPheat (Btuh_Existing)</v>
      </c>
      <c r="B67" t="s">
        <v>1165</v>
      </c>
      <c r="C67" t="s">
        <v>95</v>
      </c>
      <c r="D67" t="s">
        <v>1241</v>
      </c>
      <c r="E67" s="560" t="s">
        <v>1242</v>
      </c>
      <c r="F67" s="561" t="e">
        <f>[18]Dashboard_FS!$K$10</f>
        <v>#REF!</v>
      </c>
      <c r="G67" s="559" t="s">
        <v>1187</v>
      </c>
      <c r="H67" s="559" t="s">
        <v>1183</v>
      </c>
      <c r="I67" s="559" t="s">
        <v>1184</v>
      </c>
      <c r="J67" s="559" t="b">
        <f t="shared" si="1"/>
        <v>1</v>
      </c>
    </row>
    <row r="68" spans="1:10" hidden="1">
      <c r="A68" s="559" t="str">
        <f t="shared" si="0"/>
        <v>Residential_HVAC_Ductless Heat Pump_Heat Load Factor</v>
      </c>
      <c r="B68" t="s">
        <v>1165</v>
      </c>
      <c r="C68" t="s">
        <v>95</v>
      </c>
      <c r="D68" t="s">
        <v>1241</v>
      </c>
      <c r="E68" s="560" t="s">
        <v>1188</v>
      </c>
      <c r="F68" s="561" t="e">
        <f>IF([18]Dashboard_FS!$G$10="Partial",INDEX('[18]CZ Inputs'!$G:$G,MATCH(A68&amp;"_"&amp;[18]Dashboard_FS!$K$3,'[18]CZ Inputs'!$A:$A,0)),1)</f>
        <v>#N/A</v>
      </c>
      <c r="G68" s="559" t="s">
        <v>1189</v>
      </c>
      <c r="H68" s="559" t="s">
        <v>1183</v>
      </c>
      <c r="I68" s="559" t="s">
        <v>1184</v>
      </c>
      <c r="J68" s="559" t="b">
        <f t="shared" si="1"/>
        <v>1</v>
      </c>
    </row>
    <row r="69" spans="1:10" hidden="1">
      <c r="A69" s="559" t="str">
        <f t="shared" si="0"/>
        <v>Residential_HVAC_Ductless Heat Pump_HeatLoad_Disp</v>
      </c>
      <c r="B69" t="s">
        <v>1165</v>
      </c>
      <c r="C69" t="s">
        <v>95</v>
      </c>
      <c r="D69" t="s">
        <v>1241</v>
      </c>
      <c r="E69" s="560" t="s">
        <v>1190</v>
      </c>
      <c r="F69" s="571" t="e">
        <f xml:space="preserve"> F66 * F67 * F68</f>
        <v>#N/A</v>
      </c>
      <c r="G69" s="559" t="s">
        <v>1187</v>
      </c>
      <c r="H69" s="559" t="s">
        <v>1183</v>
      </c>
      <c r="I69" s="559" t="s">
        <v>1184</v>
      </c>
      <c r="J69" s="559" t="b">
        <f t="shared" si="1"/>
        <v>1</v>
      </c>
    </row>
    <row r="70" spans="1:10" hidden="1">
      <c r="A70" s="559" t="str">
        <f t="shared" si="0"/>
        <v>Residential_HVAC_Ductless Heat Pump_DuctlessSave</v>
      </c>
      <c r="B70" t="s">
        <v>1165</v>
      </c>
      <c r="C70" t="s">
        <v>95</v>
      </c>
      <c r="D70" t="s">
        <v>1241</v>
      </c>
      <c r="E70" s="562" t="s">
        <v>1191</v>
      </c>
      <c r="F70" s="572">
        <v>1</v>
      </c>
      <c r="G70" s="559" t="s">
        <v>1243</v>
      </c>
      <c r="H70" s="559" t="s">
        <v>1183</v>
      </c>
      <c r="I70" s="559" t="s">
        <v>1184</v>
      </c>
      <c r="J70" s="559" t="b">
        <f t="shared" si="1"/>
        <v>0</v>
      </c>
    </row>
    <row r="71" spans="1:10" hidden="1">
      <c r="A71" s="559" t="str">
        <f t="shared" si="0"/>
        <v>Residential_HVAC_Ductless Heat Pump_AFUEbase</v>
      </c>
      <c r="B71" t="s">
        <v>1165</v>
      </c>
      <c r="C71" t="s">
        <v>95</v>
      </c>
      <c r="D71" t="s">
        <v>1241</v>
      </c>
      <c r="E71" s="560" t="s">
        <v>1193</v>
      </c>
      <c r="F71" s="571" t="e">
        <f>[18]Dashboard_FS!$K$8</f>
        <v>#REF!</v>
      </c>
      <c r="G71" s="559" t="s">
        <v>1187</v>
      </c>
      <c r="H71" s="559" t="s">
        <v>1183</v>
      </c>
      <c r="I71" s="559" t="s">
        <v>1184</v>
      </c>
      <c r="J71" s="559" t="b">
        <f t="shared" si="1"/>
        <v>1</v>
      </c>
    </row>
    <row r="72" spans="1:10" hidden="1">
      <c r="A72" s="559" t="str">
        <f t="shared" si="0"/>
        <v>Residential_HVAC_Ductless Heat Pump_1000000</v>
      </c>
      <c r="B72" t="s">
        <v>1165</v>
      </c>
      <c r="C72" t="s">
        <v>95</v>
      </c>
      <c r="D72" t="s">
        <v>1241</v>
      </c>
      <c r="E72" s="562">
        <v>1000000</v>
      </c>
      <c r="F72" s="572">
        <v>1000000</v>
      </c>
      <c r="H72" s="559" t="s">
        <v>1183</v>
      </c>
      <c r="I72" s="559" t="s">
        <v>1184</v>
      </c>
      <c r="J72" s="559" t="b">
        <f t="shared" si="1"/>
        <v>0</v>
      </c>
    </row>
    <row r="73" spans="1:10" hidden="1">
      <c r="A73" s="559" t="str">
        <f t="shared" si="0"/>
        <v>Residential_HVAC_Ductless Heat Pump_GasHeatReplaced</v>
      </c>
      <c r="B73" t="s">
        <v>1165</v>
      </c>
      <c r="C73" t="s">
        <v>95</v>
      </c>
      <c r="D73" t="s">
        <v>1241</v>
      </c>
      <c r="E73" s="560" t="s">
        <v>1194</v>
      </c>
      <c r="F73" s="571" t="e">
        <f xml:space="preserve"> ( F69 * F70 * 1 / F71 ) / F72</f>
        <v>#N/A</v>
      </c>
      <c r="H73" s="559" t="s">
        <v>1183</v>
      </c>
      <c r="I73" s="559" t="s">
        <v>1184</v>
      </c>
      <c r="J73" s="559" t="b">
        <f t="shared" si="1"/>
        <v>1</v>
      </c>
    </row>
    <row r="74" spans="1:10" hidden="1">
      <c r="A74" s="559" t="str">
        <f t="shared" ref="A74:A208" si="2">B74&amp;"_"&amp;C74&amp;"_"&amp;D74&amp;"_"&amp;E74</f>
        <v>Residential_HVAC_Ductless Heat Pump_FurnaceFlag</v>
      </c>
      <c r="B74" t="s">
        <v>1165</v>
      </c>
      <c r="C74" t="s">
        <v>95</v>
      </c>
      <c r="D74" t="s">
        <v>1241</v>
      </c>
      <c r="E74" s="562" t="s">
        <v>1195</v>
      </c>
      <c r="F74" s="572">
        <v>0</v>
      </c>
      <c r="G74" s="559" t="s">
        <v>1244</v>
      </c>
      <c r="H74" s="559" t="s">
        <v>1183</v>
      </c>
      <c r="I74" s="559" t="s">
        <v>1184</v>
      </c>
      <c r="J74" s="559" t="b">
        <f t="shared" si="1"/>
        <v>0</v>
      </c>
    </row>
    <row r="75" spans="1:10" hidden="1">
      <c r="A75" s="559" t="str">
        <f t="shared" si="2"/>
        <v>Residential_HVAC_Furnace_EFLH</v>
      </c>
      <c r="B75" t="s">
        <v>1165</v>
      </c>
      <c r="C75" t="s">
        <v>95</v>
      </c>
      <c r="D75" t="s">
        <v>70</v>
      </c>
      <c r="E75" s="560" t="s">
        <v>1181</v>
      </c>
      <c r="F75" s="561" t="e">
        <f>INDEX('[18]CZ Inputs'!$G:$G,MATCH($A75&amp;"_"&amp;[18]Dashboard_FS!$K$3,'[18]CZ Inputs'!$A:$A,0))</f>
        <v>#N/A</v>
      </c>
      <c r="G75" s="559" t="s">
        <v>1182</v>
      </c>
      <c r="H75" s="559" t="s">
        <v>1183</v>
      </c>
      <c r="I75" s="559" t="s">
        <v>1184</v>
      </c>
      <c r="J75" s="559" t="b">
        <f t="shared" si="1"/>
        <v>1</v>
      </c>
    </row>
    <row r="76" spans="1:10" hidden="1">
      <c r="A76" s="559" t="str">
        <f t="shared" si="2"/>
        <v>Residential_HVAC_Ductless Heat Pump_Capacity_DMSHPheat</v>
      </c>
      <c r="B76" t="s">
        <v>1165</v>
      </c>
      <c r="C76" t="s">
        <v>95</v>
      </c>
      <c r="D76" t="s">
        <v>1241</v>
      </c>
      <c r="E76" s="560" t="s">
        <v>1245</v>
      </c>
      <c r="F76" s="571" t="e">
        <f>[18]Dashboard_FS!$K$9</f>
        <v>#REF!</v>
      </c>
      <c r="G76" s="559" t="s">
        <v>1187</v>
      </c>
      <c r="H76" s="559" t="s">
        <v>1183</v>
      </c>
      <c r="I76" s="559" t="s">
        <v>1184</v>
      </c>
      <c r="J76" s="559" t="b">
        <f t="shared" si="1"/>
        <v>1</v>
      </c>
    </row>
    <row r="77" spans="1:10" hidden="1">
      <c r="A77" s="559" t="str">
        <f t="shared" si="2"/>
        <v>Residential_HVAC_Ductless Heat Pump_Heat Load Factor</v>
      </c>
      <c r="B77" t="s">
        <v>1165</v>
      </c>
      <c r="C77" t="s">
        <v>95</v>
      </c>
      <c r="D77" t="s">
        <v>1241</v>
      </c>
      <c r="E77" s="560" t="s">
        <v>1188</v>
      </c>
      <c r="F77" s="561" t="e">
        <f>IF([18]Dashboard_FS!$G$10="Partial",INDEX('[18]CZ Inputs'!$G:$G,MATCH(A77&amp;"_"&amp;[18]Dashboard_FS!$K$3,'[18]CZ Inputs'!$A:$A,0)),1)</f>
        <v>#N/A</v>
      </c>
      <c r="G77" s="559" t="s">
        <v>1189</v>
      </c>
      <c r="H77" s="559" t="s">
        <v>1183</v>
      </c>
      <c r="I77" s="559" t="s">
        <v>1184</v>
      </c>
      <c r="J77" s="559" t="b">
        <f t="shared" si="1"/>
        <v>1</v>
      </c>
    </row>
    <row r="78" spans="1:10" hidden="1">
      <c r="A78" s="559" t="str">
        <f t="shared" si="2"/>
        <v>Residential_HVAC_Ductless Heat Pump_HeatLoad_Disp</v>
      </c>
      <c r="B78" t="s">
        <v>1165</v>
      </c>
      <c r="C78" t="s">
        <v>95</v>
      </c>
      <c r="D78" t="s">
        <v>1241</v>
      </c>
      <c r="E78" s="560" t="s">
        <v>1190</v>
      </c>
      <c r="F78" s="571" t="e">
        <f xml:space="preserve"> F75 * F76 * F77</f>
        <v>#N/A</v>
      </c>
      <c r="H78" s="559" t="s">
        <v>1183</v>
      </c>
      <c r="I78" s="559" t="s">
        <v>1184</v>
      </c>
      <c r="J78" s="559" t="b">
        <f t="shared" si="1"/>
        <v>1</v>
      </c>
    </row>
    <row r="79" spans="1:10" hidden="1">
      <c r="A79" s="559" t="str">
        <f t="shared" si="2"/>
        <v>Residential_HVAC_Ductless Heat Pump_DuctlessSave</v>
      </c>
      <c r="B79" t="s">
        <v>1165</v>
      </c>
      <c r="C79" t="s">
        <v>95</v>
      </c>
      <c r="D79" t="s">
        <v>1241</v>
      </c>
      <c r="E79" s="562" t="s">
        <v>1191</v>
      </c>
      <c r="F79" s="572">
        <v>1</v>
      </c>
      <c r="G79" s="559" t="s">
        <v>1243</v>
      </c>
      <c r="H79" s="559" t="s">
        <v>1183</v>
      </c>
      <c r="I79" s="559" t="s">
        <v>1184</v>
      </c>
      <c r="J79" s="559" t="b">
        <f t="shared" si="1"/>
        <v>0</v>
      </c>
    </row>
    <row r="80" spans="1:10" hidden="1">
      <c r="A80" s="559" t="str">
        <f t="shared" si="2"/>
        <v>Residential_HVAC_Ductless Heat Pump_AFUEbase</v>
      </c>
      <c r="B80" t="s">
        <v>1165</v>
      </c>
      <c r="C80" t="s">
        <v>95</v>
      </c>
      <c r="D80" t="s">
        <v>1241</v>
      </c>
      <c r="E80" s="560" t="s">
        <v>1193</v>
      </c>
      <c r="F80" s="571" t="e">
        <f>[18]Dashboard_FS!$K$8</f>
        <v>#REF!</v>
      </c>
      <c r="G80" s="559" t="s">
        <v>1187</v>
      </c>
      <c r="H80" s="559" t="s">
        <v>1183</v>
      </c>
      <c r="I80" s="559" t="s">
        <v>1184</v>
      </c>
      <c r="J80" s="559" t="b">
        <f t="shared" si="1"/>
        <v>1</v>
      </c>
    </row>
    <row r="81" spans="1:10" hidden="1">
      <c r="A81" s="559" t="str">
        <f t="shared" si="2"/>
        <v>Residential_HVAC_Ductless Heat Pump_Fe</v>
      </c>
      <c r="B81" t="s">
        <v>1165</v>
      </c>
      <c r="C81" t="s">
        <v>95</v>
      </c>
      <c r="D81" t="s">
        <v>1241</v>
      </c>
      <c r="E81" s="562" t="s">
        <v>1198</v>
      </c>
      <c r="F81" s="573">
        <v>1.8799999999999997E-2</v>
      </c>
      <c r="H81" s="559" t="s">
        <v>1183</v>
      </c>
      <c r="I81" s="559" t="s">
        <v>1184</v>
      </c>
      <c r="J81" s="559" t="b">
        <f t="shared" ref="J81:J213" si="3">_xlfn.ISFORMULA(F81)</f>
        <v>0</v>
      </c>
    </row>
    <row r="82" spans="1:10" hidden="1">
      <c r="A82" s="559" t="str">
        <f t="shared" si="2"/>
        <v>Residential_HVAC_Ductless Heat Pump_1000000</v>
      </c>
      <c r="B82" t="s">
        <v>1165</v>
      </c>
      <c r="C82" t="s">
        <v>95</v>
      </c>
      <c r="D82" t="s">
        <v>1241</v>
      </c>
      <c r="E82" s="562">
        <v>1000000</v>
      </c>
      <c r="F82" s="572">
        <v>1000000</v>
      </c>
      <c r="H82" s="559" t="s">
        <v>1183</v>
      </c>
      <c r="I82" s="559" t="s">
        <v>1184</v>
      </c>
      <c r="J82" s="559" t="b">
        <f t="shared" si="3"/>
        <v>0</v>
      </c>
    </row>
    <row r="83" spans="1:10" hidden="1">
      <c r="A83" s="559" t="str">
        <f t="shared" si="2"/>
        <v>Residential_HVAC_Ductless Heat Pump_FurnaceFanSavings</v>
      </c>
      <c r="B83" t="s">
        <v>1165</v>
      </c>
      <c r="C83" t="s">
        <v>95</v>
      </c>
      <c r="D83" t="s">
        <v>1241</v>
      </c>
      <c r="E83" s="560" t="s">
        <v>1199</v>
      </c>
      <c r="F83" s="571" t="e">
        <f xml:space="preserve"> ( F74 * F78 / F79 * 1 / F80 * F81 ) / F82</f>
        <v>#N/A</v>
      </c>
      <c r="H83" s="559" t="s">
        <v>1183</v>
      </c>
      <c r="I83" s="559" t="s">
        <v>1184</v>
      </c>
      <c r="J83" s="559" t="b">
        <f t="shared" si="3"/>
        <v>1</v>
      </c>
    </row>
    <row r="84" spans="1:10" hidden="1">
      <c r="A84" s="559" t="str">
        <f t="shared" si="2"/>
        <v>Residential_HVAC_Ductless Heat Pump_EFLHheat_DMSHP</v>
      </c>
      <c r="B84" t="s">
        <v>1165</v>
      </c>
      <c r="C84" t="s">
        <v>95</v>
      </c>
      <c r="D84" t="s">
        <v>1241</v>
      </c>
      <c r="E84" s="560" t="s">
        <v>1246</v>
      </c>
      <c r="F84" s="561" t="e">
        <f>INDEX('[18]CZ Inputs'!$G:$G,MATCH($A84&amp;"_"&amp;[18]Dashboard_FS!$K$3,'[18]CZ Inputs'!$A:$A,0))</f>
        <v>#N/A</v>
      </c>
      <c r="G84" s="559" t="s">
        <v>1182</v>
      </c>
      <c r="H84" s="559" t="s">
        <v>1183</v>
      </c>
      <c r="I84" s="559" t="s">
        <v>1184</v>
      </c>
      <c r="J84" s="559" t="b">
        <f t="shared" si="3"/>
        <v>1</v>
      </c>
    </row>
    <row r="85" spans="1:10" hidden="1">
      <c r="A85" s="559" t="str">
        <f t="shared" si="2"/>
        <v>Residential_HVAC_Ductless Heat Pump_Capacity_DMSHPheat</v>
      </c>
      <c r="B85" t="s">
        <v>1165</v>
      </c>
      <c r="C85" t="s">
        <v>95</v>
      </c>
      <c r="D85" t="s">
        <v>1241</v>
      </c>
      <c r="E85" s="560" t="s">
        <v>1245</v>
      </c>
      <c r="F85" s="571" t="e">
        <f>[18]Dashboard_FS!$K$9</f>
        <v>#REF!</v>
      </c>
      <c r="G85" s="559" t="s">
        <v>1187</v>
      </c>
      <c r="H85" s="559" t="s">
        <v>1183</v>
      </c>
      <c r="I85" s="559" t="s">
        <v>1184</v>
      </c>
      <c r="J85" s="559" t="b">
        <f t="shared" si="3"/>
        <v>1</v>
      </c>
    </row>
    <row r="86" spans="1:10" hidden="1">
      <c r="A86" s="559" t="str">
        <f t="shared" si="2"/>
        <v>Residential_HVAC_Ductless Heat Pump_Heat Load Factor</v>
      </c>
      <c r="B86" t="s">
        <v>1165</v>
      </c>
      <c r="C86" t="s">
        <v>95</v>
      </c>
      <c r="D86" t="s">
        <v>1241</v>
      </c>
      <c r="E86" s="560" t="s">
        <v>1188</v>
      </c>
      <c r="F86" s="561" t="e">
        <f>IF([18]Dashboard_FS!$G$10="Partial",INDEX('[18]CZ Inputs'!$G:$G,MATCH(A86&amp;"_"&amp;[18]Dashboard_FS!$K$3,'[18]CZ Inputs'!$A:$A,0)),1)</f>
        <v>#N/A</v>
      </c>
      <c r="G86" s="559" t="s">
        <v>1189</v>
      </c>
      <c r="H86" s="559" t="s">
        <v>1183</v>
      </c>
      <c r="I86" s="559" t="s">
        <v>1184</v>
      </c>
      <c r="J86" s="559" t="b">
        <f t="shared" si="3"/>
        <v>1</v>
      </c>
    </row>
    <row r="87" spans="1:10" hidden="1">
      <c r="A87" s="559" t="str">
        <f t="shared" si="2"/>
        <v>Residential_HVAC_Ductless Heat Pump_HeatLoad_Disp</v>
      </c>
      <c r="B87" t="s">
        <v>1165</v>
      </c>
      <c r="C87" t="s">
        <v>95</v>
      </c>
      <c r="D87" t="s">
        <v>1241</v>
      </c>
      <c r="E87" s="560" t="s">
        <v>1190</v>
      </c>
      <c r="F87" s="571" t="e">
        <f xml:space="preserve"> F84 * F85 * F86</f>
        <v>#N/A</v>
      </c>
      <c r="G87" s="559" t="s">
        <v>1187</v>
      </c>
      <c r="H87" s="559" t="s">
        <v>1183</v>
      </c>
      <c r="I87" s="559" t="s">
        <v>1184</v>
      </c>
      <c r="J87" s="559" t="b">
        <f t="shared" si="3"/>
        <v>1</v>
      </c>
    </row>
    <row r="88" spans="1:10" hidden="1">
      <c r="A88" s="559" t="str">
        <f t="shared" si="2"/>
        <v>Residential_HVAC_Ductless Heat Pump_HeatLoadFactorelec</v>
      </c>
      <c r="B88" t="s">
        <v>1165</v>
      </c>
      <c r="C88" t="s">
        <v>95</v>
      </c>
      <c r="D88" t="s">
        <v>1241</v>
      </c>
      <c r="E88" s="562" t="s">
        <v>1247</v>
      </c>
      <c r="F88" s="572">
        <v>1</v>
      </c>
      <c r="H88" s="559" t="s">
        <v>1183</v>
      </c>
      <c r="I88" s="559" t="s">
        <v>1184</v>
      </c>
      <c r="J88" s="559" t="b">
        <f t="shared" si="3"/>
        <v>0</v>
      </c>
    </row>
    <row r="89" spans="1:10" hidden="1">
      <c r="A89" s="559" t="str">
        <f t="shared" si="2"/>
        <v>Residential_HVAC_Ductless Heat Pump_HSPF2_ee</v>
      </c>
      <c r="B89" t="s">
        <v>1165</v>
      </c>
      <c r="C89" t="s">
        <v>95</v>
      </c>
      <c r="D89" t="s">
        <v>1241</v>
      </c>
      <c r="E89" s="560" t="s">
        <v>1202</v>
      </c>
      <c r="F89" s="561" t="e">
        <f>[18]Dashboard_FS!$K$6</f>
        <v>#REF!</v>
      </c>
      <c r="G89" s="559" t="s">
        <v>1187</v>
      </c>
      <c r="H89" s="559" t="s">
        <v>1183</v>
      </c>
      <c r="I89" s="559" t="s">
        <v>1184</v>
      </c>
      <c r="J89" s="559" t="b">
        <f t="shared" si="3"/>
        <v>1</v>
      </c>
    </row>
    <row r="90" spans="1:10" hidden="1">
      <c r="A90" s="559" t="str">
        <f t="shared" si="2"/>
        <v>Residential_HVAC_Ductless Heat Pump_HSPF2_ClimateAdj</v>
      </c>
      <c r="B90" t="s">
        <v>1165</v>
      </c>
      <c r="C90" t="s">
        <v>95</v>
      </c>
      <c r="D90" t="s">
        <v>1241</v>
      </c>
      <c r="E90" s="560" t="s">
        <v>1203</v>
      </c>
      <c r="F90" s="564">
        <f>IF([18]Dashboard_FS!$G$10="Partial",1,INDEX('[18]CZ Inputs'!$G:$G,MATCH(A90&amp;"_"&amp;[18]Dashboard_FS!$K$3,'[18]CZ Inputs'!$A:$A,0)))</f>
        <v>1</v>
      </c>
      <c r="G90" s="559" t="s">
        <v>1204</v>
      </c>
      <c r="H90" s="559" t="s">
        <v>1183</v>
      </c>
      <c r="I90" s="559" t="s">
        <v>1184</v>
      </c>
      <c r="J90" s="559" t="b">
        <f t="shared" si="3"/>
        <v>1</v>
      </c>
    </row>
    <row r="91" spans="1:10" hidden="1">
      <c r="A91" s="559" t="str">
        <f t="shared" si="2"/>
        <v>Residential_HVAC_Ductless Heat Pump_PD_Adj</v>
      </c>
      <c r="B91" t="s">
        <v>1165</v>
      </c>
      <c r="C91" t="s">
        <v>95</v>
      </c>
      <c r="D91" t="s">
        <v>1241</v>
      </c>
      <c r="E91" s="562" t="s">
        <v>1205</v>
      </c>
      <c r="F91" s="565" t="e">
        <f>IF([18]Dashboard_FS!$G$10="Partial",INDEX('[18]CZ Inputs'!$G:$G,MATCH(A91&amp;"_"&amp;[18]Dashboard_FS!$K$3,'[18]CZ Inputs'!$A:$A,0)),1)</f>
        <v>#N/A</v>
      </c>
      <c r="G91" s="559" t="s">
        <v>1189</v>
      </c>
      <c r="H91" s="559" t="s">
        <v>1183</v>
      </c>
      <c r="I91" s="559" t="s">
        <v>1184</v>
      </c>
      <c r="J91" s="559" t="b">
        <f t="shared" si="3"/>
        <v>1</v>
      </c>
    </row>
    <row r="92" spans="1:10" hidden="1">
      <c r="A92" s="559" t="str">
        <f t="shared" si="2"/>
        <v>Residential_HVAC_Ductless Heat Pump_DeratingHeatEff</v>
      </c>
      <c r="B92" t="s">
        <v>1165</v>
      </c>
      <c r="C92" t="s">
        <v>95</v>
      </c>
      <c r="D92" t="s">
        <v>1241</v>
      </c>
      <c r="E92" s="562" t="s">
        <v>1206</v>
      </c>
      <c r="F92" s="563">
        <v>0.1</v>
      </c>
      <c r="G92" s="559" t="s">
        <v>1207</v>
      </c>
      <c r="H92" s="559" t="s">
        <v>1183</v>
      </c>
      <c r="I92" s="559" t="s">
        <v>1184</v>
      </c>
      <c r="J92" s="559" t="b">
        <f t="shared" si="3"/>
        <v>0</v>
      </c>
    </row>
    <row r="93" spans="1:10" hidden="1">
      <c r="A93" s="559" t="str">
        <f t="shared" si="2"/>
        <v>Residential_HVAC_Ductless Heat Pump_1000</v>
      </c>
      <c r="B93" t="s">
        <v>1165</v>
      </c>
      <c r="C93" t="s">
        <v>95</v>
      </c>
      <c r="D93" t="s">
        <v>1241</v>
      </c>
      <c r="E93" s="562">
        <v>1000</v>
      </c>
      <c r="F93" s="572">
        <v>1000</v>
      </c>
      <c r="H93" s="559" t="s">
        <v>1183</v>
      </c>
      <c r="I93" s="559" t="s">
        <v>1184</v>
      </c>
      <c r="J93" s="559" t="b">
        <f t="shared" si="3"/>
        <v>0</v>
      </c>
    </row>
    <row r="94" spans="1:10" hidden="1">
      <c r="A94" s="559" t="str">
        <f t="shared" si="2"/>
        <v>Residential_HVAC_Ductless Heat Pump_3412</v>
      </c>
      <c r="B94" t="s">
        <v>1165</v>
      </c>
      <c r="C94" t="s">
        <v>95</v>
      </c>
      <c r="D94" t="s">
        <v>1241</v>
      </c>
      <c r="E94" s="562">
        <v>3412</v>
      </c>
      <c r="F94" s="572">
        <v>3412</v>
      </c>
      <c r="H94" s="559" t="s">
        <v>1183</v>
      </c>
      <c r="I94" s="559" t="s">
        <v>1184</v>
      </c>
      <c r="J94" s="559" t="b">
        <f t="shared" si="3"/>
        <v>0</v>
      </c>
    </row>
    <row r="95" spans="1:10" hidden="1">
      <c r="A95" s="559" t="str">
        <f t="shared" si="2"/>
        <v>Residential_HVAC_Ductless Heat Pump_1000000</v>
      </c>
      <c r="B95" t="s">
        <v>1165</v>
      </c>
      <c r="C95" t="s">
        <v>95</v>
      </c>
      <c r="D95" t="s">
        <v>1241</v>
      </c>
      <c r="E95" s="562">
        <v>1000000</v>
      </c>
      <c r="F95" s="572">
        <v>1000000</v>
      </c>
      <c r="H95" s="559" t="s">
        <v>1183</v>
      </c>
      <c r="I95" s="559" t="s">
        <v>1184</v>
      </c>
      <c r="J95" s="559" t="b">
        <f t="shared" si="3"/>
        <v>0</v>
      </c>
    </row>
    <row r="96" spans="1:10" hidden="1">
      <c r="A96" s="559" t="str">
        <f t="shared" si="2"/>
        <v>Residential_HVAC_Ductless Heat Pump_DMSHPSiteHeatConsumed</v>
      </c>
      <c r="B96" t="s">
        <v>1165</v>
      </c>
      <c r="C96" t="s">
        <v>95</v>
      </c>
      <c r="D96" t="s">
        <v>1241</v>
      </c>
      <c r="E96" s="560" t="s">
        <v>1248</v>
      </c>
      <c r="F96" s="571" t="e">
        <f xml:space="preserve"> -((F87 * (1/(F89 * F90 * F91 * (1 - F92)))) /F93 * F94)/ F95</f>
        <v>#N/A</v>
      </c>
      <c r="H96" s="559" t="s">
        <v>1183</v>
      </c>
      <c r="I96" s="559" t="s">
        <v>1184</v>
      </c>
      <c r="J96" s="559" t="b">
        <f t="shared" si="3"/>
        <v>1</v>
      </c>
    </row>
    <row r="97" spans="1:10" hidden="1">
      <c r="A97" s="559" t="str">
        <f t="shared" si="2"/>
        <v>Residential_HVAC_Ductless Heat Pump_EFLHcool</v>
      </c>
      <c r="B97" t="s">
        <v>1165</v>
      </c>
      <c r="C97" t="s">
        <v>95</v>
      </c>
      <c r="D97" t="s">
        <v>1241</v>
      </c>
      <c r="E97" s="560" t="s">
        <v>1249</v>
      </c>
      <c r="F97" s="561" t="e">
        <f>INDEX('[18]CZ Inputs'!$G:$G,MATCH($A97&amp;"_"&amp;[18]Dashboard_FS!$K$3,'[18]CZ Inputs'!$A:$A,0))</f>
        <v>#N/A</v>
      </c>
      <c r="G97" s="559" t="s">
        <v>1182</v>
      </c>
      <c r="H97" s="559" t="s">
        <v>1183</v>
      </c>
      <c r="I97" s="559" t="s">
        <v>1184</v>
      </c>
      <c r="J97" s="559" t="b">
        <f t="shared" si="3"/>
        <v>1</v>
      </c>
    </row>
    <row r="98" spans="1:10" hidden="1">
      <c r="A98" s="559" t="str">
        <f t="shared" si="2"/>
        <v>Residential_HVAC_Ductless Heat Pump_Capacity_DMSHPcool</v>
      </c>
      <c r="B98" t="s">
        <v>1165</v>
      </c>
      <c r="C98" t="s">
        <v>95</v>
      </c>
      <c r="D98" t="s">
        <v>1241</v>
      </c>
      <c r="E98" s="560" t="s">
        <v>1250</v>
      </c>
      <c r="F98" s="561" t="e">
        <f>[18]Dashboard_FS!$K$15</f>
        <v>#REF!</v>
      </c>
      <c r="G98" s="559" t="s">
        <v>1220</v>
      </c>
      <c r="H98" s="559" t="s">
        <v>1183</v>
      </c>
      <c r="I98" s="559" t="s">
        <v>1184</v>
      </c>
      <c r="J98" s="559" t="b">
        <f t="shared" si="3"/>
        <v>1</v>
      </c>
    </row>
    <row r="99" spans="1:10" hidden="1">
      <c r="A99" s="559" t="str">
        <f t="shared" si="2"/>
        <v>Residential_HVAC_Ductless Heat Pump_CoolingLoad</v>
      </c>
      <c r="B99" t="s">
        <v>1165</v>
      </c>
      <c r="C99" t="s">
        <v>95</v>
      </c>
      <c r="D99" t="s">
        <v>1241</v>
      </c>
      <c r="E99" s="560" t="s">
        <v>1211</v>
      </c>
      <c r="F99" s="561" t="e">
        <f>F97*F98</f>
        <v>#N/A</v>
      </c>
      <c r="H99" s="559" t="s">
        <v>1183</v>
      </c>
      <c r="I99" s="559" t="s">
        <v>1184</v>
      </c>
      <c r="J99" s="559" t="b">
        <f t="shared" si="3"/>
        <v>1</v>
      </c>
    </row>
    <row r="100" spans="1:10" hidden="1">
      <c r="A100" s="559" t="str">
        <f t="shared" si="2"/>
        <v>Residential_HVAC_Ductless Heat Pump_DuctlessSave</v>
      </c>
      <c r="B100" t="s">
        <v>1165</v>
      </c>
      <c r="C100" t="s">
        <v>95</v>
      </c>
      <c r="D100" t="s">
        <v>1241</v>
      </c>
      <c r="E100" s="562" t="s">
        <v>1191</v>
      </c>
      <c r="F100" s="572">
        <v>1</v>
      </c>
      <c r="G100" s="559" t="s">
        <v>1243</v>
      </c>
      <c r="H100" s="559" t="s">
        <v>1183</v>
      </c>
      <c r="I100" s="559" t="s">
        <v>1184</v>
      </c>
      <c r="J100" s="559" t="b">
        <f t="shared" si="3"/>
        <v>0</v>
      </c>
    </row>
    <row r="101" spans="1:10" hidden="1">
      <c r="A101" s="559" t="str">
        <f t="shared" si="2"/>
        <v>Residential_HVAC_Ductless Heat Pump_SEER2_base</v>
      </c>
      <c r="B101" t="s">
        <v>1165</v>
      </c>
      <c r="C101" t="s">
        <v>95</v>
      </c>
      <c r="D101" t="s">
        <v>1241</v>
      </c>
      <c r="E101" s="560" t="s">
        <v>1212</v>
      </c>
      <c r="F101" s="561" t="e">
        <f>[18]Dashboard_FS!$K$14</f>
        <v>#REF!</v>
      </c>
      <c r="G101" s="559" t="s">
        <v>1187</v>
      </c>
      <c r="H101" s="559" t="s">
        <v>1183</v>
      </c>
      <c r="I101" s="559" t="s">
        <v>1184</v>
      </c>
      <c r="J101" s="559" t="b">
        <f t="shared" si="3"/>
        <v>1</v>
      </c>
    </row>
    <row r="102" spans="1:10" hidden="1">
      <c r="A102" s="559" t="str">
        <f t="shared" si="2"/>
        <v>Residential_HVAC_Ductless Heat Pump_DeratingCoolBase</v>
      </c>
      <c r="B102" t="s">
        <v>1165</v>
      </c>
      <c r="C102" t="s">
        <v>95</v>
      </c>
      <c r="D102" t="s">
        <v>1241</v>
      </c>
      <c r="E102" s="562" t="s">
        <v>1213</v>
      </c>
      <c r="F102" s="563">
        <v>0.1</v>
      </c>
      <c r="H102" s="559" t="s">
        <v>1183</v>
      </c>
      <c r="I102" s="559" t="s">
        <v>1184</v>
      </c>
      <c r="J102" s="559" t="b">
        <f t="shared" si="3"/>
        <v>0</v>
      </c>
    </row>
    <row r="103" spans="1:10" hidden="1">
      <c r="A103" s="559" t="str">
        <f t="shared" si="2"/>
        <v>Residential_HVAC_Ductless Heat Pump_SEER2_ee</v>
      </c>
      <c r="B103" t="s">
        <v>1165</v>
      </c>
      <c r="C103" t="s">
        <v>95</v>
      </c>
      <c r="D103" t="s">
        <v>1241</v>
      </c>
      <c r="E103" s="560" t="s">
        <v>1214</v>
      </c>
      <c r="F103" s="561" t="e">
        <f>[18]Dashboard_FS!$K$13</f>
        <v>#REF!</v>
      </c>
      <c r="G103" s="559" t="s">
        <v>1187</v>
      </c>
      <c r="H103" s="559" t="s">
        <v>1183</v>
      </c>
      <c r="I103" s="559" t="s">
        <v>1184</v>
      </c>
      <c r="J103" s="559" t="b">
        <f t="shared" si="3"/>
        <v>1</v>
      </c>
    </row>
    <row r="104" spans="1:10" hidden="1">
      <c r="A104" s="559" t="str">
        <f t="shared" si="2"/>
        <v>Residential_HVAC_Ductless Heat Pump_DeratingCoolEff</v>
      </c>
      <c r="B104" t="s">
        <v>1165</v>
      </c>
      <c r="C104" t="s">
        <v>95</v>
      </c>
      <c r="D104" t="s">
        <v>1241</v>
      </c>
      <c r="E104" s="562" t="s">
        <v>1215</v>
      </c>
      <c r="F104" s="563">
        <v>0.1</v>
      </c>
      <c r="G104" s="559" t="s">
        <v>1207</v>
      </c>
      <c r="H104" s="559" t="s">
        <v>1183</v>
      </c>
      <c r="I104" s="559" t="s">
        <v>1184</v>
      </c>
      <c r="J104" s="559" t="b">
        <f t="shared" si="3"/>
        <v>0</v>
      </c>
    </row>
    <row r="105" spans="1:10" hidden="1">
      <c r="A105" s="559" t="str">
        <f t="shared" si="2"/>
        <v>Residential_HVAC_Ductless Heat Pump_1000</v>
      </c>
      <c r="B105" t="s">
        <v>1165</v>
      </c>
      <c r="C105" t="s">
        <v>95</v>
      </c>
      <c r="D105" t="s">
        <v>1241</v>
      </c>
      <c r="E105" s="562">
        <v>1000</v>
      </c>
      <c r="F105" s="572">
        <v>1000</v>
      </c>
      <c r="H105" s="559" t="s">
        <v>1183</v>
      </c>
      <c r="I105" s="559" t="s">
        <v>1184</v>
      </c>
      <c r="J105" s="559" t="b">
        <f t="shared" si="3"/>
        <v>0</v>
      </c>
    </row>
    <row r="106" spans="1:10" hidden="1">
      <c r="A106" s="559" t="str">
        <f t="shared" si="2"/>
        <v>Residential_HVAC_Ductless Heat Pump_3412</v>
      </c>
      <c r="B106" t="s">
        <v>1165</v>
      </c>
      <c r="C106" t="s">
        <v>95</v>
      </c>
      <c r="D106" t="s">
        <v>1241</v>
      </c>
      <c r="E106" s="562">
        <v>3412</v>
      </c>
      <c r="F106" s="572">
        <v>3412</v>
      </c>
      <c r="H106" s="559" t="s">
        <v>1183</v>
      </c>
      <c r="I106" s="559" t="s">
        <v>1184</v>
      </c>
      <c r="J106" s="559" t="b">
        <f t="shared" si="3"/>
        <v>0</v>
      </c>
    </row>
    <row r="107" spans="1:10" hidden="1">
      <c r="A107" s="559" t="str">
        <f t="shared" si="2"/>
        <v>Residential_HVAC_Ductless Heat Pump_1000000</v>
      </c>
      <c r="B107" t="s">
        <v>1165</v>
      </c>
      <c r="C107" t="s">
        <v>95</v>
      </c>
      <c r="D107" t="s">
        <v>1241</v>
      </c>
      <c r="E107" s="562">
        <v>1000000</v>
      </c>
      <c r="F107" s="572">
        <v>1000000</v>
      </c>
      <c r="H107" s="559" t="s">
        <v>1183</v>
      </c>
      <c r="I107" s="559" t="s">
        <v>1184</v>
      </c>
      <c r="J107" s="559" t="b">
        <f t="shared" si="3"/>
        <v>0</v>
      </c>
    </row>
    <row r="108" spans="1:10" hidden="1">
      <c r="A108" s="559" t="str">
        <f t="shared" si="2"/>
        <v>Residential_HVAC_Ductless Heat Pump_DMSHPSiteCoolingImpact</v>
      </c>
      <c r="B108" t="s">
        <v>1165</v>
      </c>
      <c r="C108" t="s">
        <v>95</v>
      </c>
      <c r="D108" t="s">
        <v>1241</v>
      </c>
      <c r="E108" s="560" t="s">
        <v>1251</v>
      </c>
      <c r="F108" s="566" t="e">
        <f xml:space="preserve"> (( F99 / F100 * (IF([18]Dashboard_FS!$K$16="Yes",1/(F101 * (1 - F102)),0) - 1/( F103 * (1 - F104 ))))/ F105 * F106 ) / F107</f>
        <v>#N/A</v>
      </c>
      <c r="G108" s="559" t="s">
        <v>1252</v>
      </c>
      <c r="H108" s="559" t="s">
        <v>1183</v>
      </c>
      <c r="I108" s="559" t="s">
        <v>1184</v>
      </c>
      <c r="J108" s="559" t="b">
        <f t="shared" si="3"/>
        <v>1</v>
      </c>
    </row>
    <row r="109" spans="1:10" hidden="1">
      <c r="A109" s="559" t="str">
        <f t="shared" si="2"/>
        <v>Residential_HVAC_Ductless Heat Pump_SiteEnergySavings (MMBTUs)</v>
      </c>
      <c r="B109" t="s">
        <v>1165</v>
      </c>
      <c r="C109" t="s">
        <v>95</v>
      </c>
      <c r="D109" t="s">
        <v>1241</v>
      </c>
      <c r="E109" s="567" t="s">
        <v>1218</v>
      </c>
      <c r="F109" s="571" t="e">
        <f xml:space="preserve"> F73 + F83 + F96 + F108</f>
        <v>#N/A</v>
      </c>
      <c r="H109" s="559" t="s">
        <v>1183</v>
      </c>
      <c r="I109" s="559" t="s">
        <v>1184</v>
      </c>
      <c r="J109" s="559" t="b">
        <f t="shared" si="3"/>
        <v>1</v>
      </c>
    </row>
    <row r="110" spans="1:10" hidden="1">
      <c r="A110" s="559" t="str">
        <f t="shared" si="2"/>
        <v>Residential_HVAC_Ductless Heat Pump_Capacitycool</v>
      </c>
      <c r="B110" t="s">
        <v>1165</v>
      </c>
      <c r="C110" t="s">
        <v>95</v>
      </c>
      <c r="D110" t="s">
        <v>1241</v>
      </c>
      <c r="E110" s="562" t="s">
        <v>1253</v>
      </c>
      <c r="F110" s="572">
        <v>36000</v>
      </c>
      <c r="G110" s="559" t="s">
        <v>1220</v>
      </c>
      <c r="H110" s="559" t="s">
        <v>1183</v>
      </c>
      <c r="I110" s="559" t="s">
        <v>1184</v>
      </c>
      <c r="J110" s="559" t="b">
        <f t="shared" si="3"/>
        <v>0</v>
      </c>
    </row>
    <row r="111" spans="1:10" hidden="1">
      <c r="A111" s="559" t="str">
        <f t="shared" si="2"/>
        <v>Residential_HVAC_Ductless Heat Pump_EER_base</v>
      </c>
      <c r="B111" t="s">
        <v>1165</v>
      </c>
      <c r="C111" t="s">
        <v>95</v>
      </c>
      <c r="D111" t="s">
        <v>1241</v>
      </c>
      <c r="E111" s="562" t="s">
        <v>1221</v>
      </c>
      <c r="F111" s="572">
        <v>10.5</v>
      </c>
      <c r="G111" s="559" t="s">
        <v>1222</v>
      </c>
      <c r="H111" s="559" t="s">
        <v>1183</v>
      </c>
      <c r="I111" s="559" t="s">
        <v>1184</v>
      </c>
      <c r="J111" s="559" t="b">
        <f t="shared" si="3"/>
        <v>0</v>
      </c>
    </row>
    <row r="112" spans="1:10" hidden="1">
      <c r="A112" s="559" t="str">
        <f t="shared" si="2"/>
        <v>Residential_HVAC_Ductless Heat Pump_EER_ee</v>
      </c>
      <c r="B112" t="s">
        <v>1165</v>
      </c>
      <c r="C112" t="s">
        <v>95</v>
      </c>
      <c r="D112" t="s">
        <v>1241</v>
      </c>
      <c r="E112" s="562" t="s">
        <v>1223</v>
      </c>
      <c r="F112" s="572">
        <v>12.5</v>
      </c>
      <c r="H112" s="559" t="s">
        <v>1183</v>
      </c>
      <c r="I112" s="559" t="s">
        <v>1184</v>
      </c>
      <c r="J112" s="559" t="b">
        <f t="shared" si="3"/>
        <v>0</v>
      </c>
    </row>
    <row r="113" spans="1:10" hidden="1">
      <c r="A113" s="559" t="str">
        <f t="shared" si="2"/>
        <v>Residential_HVAC_Ductless Heat Pump_1000</v>
      </c>
      <c r="B113" t="s">
        <v>1165</v>
      </c>
      <c r="C113" t="s">
        <v>95</v>
      </c>
      <c r="D113" t="s">
        <v>1241</v>
      </c>
      <c r="E113" s="562">
        <v>1000</v>
      </c>
      <c r="F113" s="572">
        <v>1000</v>
      </c>
      <c r="H113" s="559" t="s">
        <v>1183</v>
      </c>
      <c r="I113" s="559" t="s">
        <v>1184</v>
      </c>
      <c r="J113" s="559" t="b">
        <f t="shared" si="3"/>
        <v>0</v>
      </c>
    </row>
    <row r="114" spans="1:10" hidden="1">
      <c r="A114" s="559" t="str">
        <f t="shared" si="2"/>
        <v>Residential_HVAC_Ductless Heat Pump_CF</v>
      </c>
      <c r="B114" t="s">
        <v>1165</v>
      </c>
      <c r="C114" t="s">
        <v>95</v>
      </c>
      <c r="D114" t="s">
        <v>1241</v>
      </c>
      <c r="E114" s="562" t="s">
        <v>1224</v>
      </c>
      <c r="F114" s="572">
        <v>0.72</v>
      </c>
      <c r="G114" s="559" t="s">
        <v>1225</v>
      </c>
      <c r="H114" s="559" t="s">
        <v>1183</v>
      </c>
      <c r="I114" s="559" t="s">
        <v>1184</v>
      </c>
      <c r="J114" s="559" t="b">
        <f t="shared" si="3"/>
        <v>0</v>
      </c>
    </row>
    <row r="115" spans="1:10" hidden="1">
      <c r="A115" s="559" t="str">
        <f t="shared" si="2"/>
        <v>Residential_HVAC_Ductless Heat Pump_Delta_kW</v>
      </c>
      <c r="B115" t="s">
        <v>1165</v>
      </c>
      <c r="C115" t="s">
        <v>95</v>
      </c>
      <c r="D115" t="s">
        <v>1241</v>
      </c>
      <c r="E115" s="560" t="s">
        <v>1226</v>
      </c>
      <c r="F115" s="571">
        <f>((F110 * (1/F111 - 1/F112)) / F113) * F114</f>
        <v>0.39497142857142842</v>
      </c>
      <c r="H115" s="559" t="s">
        <v>1183</v>
      </c>
      <c r="I115" s="559" t="s">
        <v>1184</v>
      </c>
      <c r="J115" s="559" t="b">
        <f t="shared" si="3"/>
        <v>1</v>
      </c>
    </row>
    <row r="116" spans="1:10" hidden="1">
      <c r="A116" s="559" t="str">
        <f t="shared" si="2"/>
        <v>Residential_HVAC_Ductless Heat Pump_kWh Saved per Unit</v>
      </c>
      <c r="B116" t="s">
        <v>1165</v>
      </c>
      <c r="C116" t="s">
        <v>95</v>
      </c>
      <c r="D116" t="s">
        <v>1241</v>
      </c>
      <c r="E116" s="568" t="s">
        <v>1227</v>
      </c>
      <c r="F116" s="574" t="e">
        <f>((F83+F96+F108)*10^6)/3412</f>
        <v>#N/A</v>
      </c>
      <c r="H116" s="559" t="s">
        <v>1183</v>
      </c>
      <c r="I116" s="559" t="s">
        <v>1184</v>
      </c>
      <c r="J116" s="559" t="b">
        <f t="shared" si="3"/>
        <v>1</v>
      </c>
    </row>
    <row r="117" spans="1:10" hidden="1">
      <c r="A117" s="559" t="str">
        <f t="shared" si="2"/>
        <v>Residential_HVAC_Ductless Heat Pump_Coincident Peak kW Saved per Unit</v>
      </c>
      <c r="B117" t="s">
        <v>1165</v>
      </c>
      <c r="C117" t="s">
        <v>95</v>
      </c>
      <c r="D117" t="s">
        <v>1241</v>
      </c>
      <c r="E117" s="568" t="s">
        <v>1228</v>
      </c>
      <c r="F117" s="574">
        <f>F115</f>
        <v>0.39497142857142842</v>
      </c>
      <c r="H117" s="559" t="s">
        <v>1183</v>
      </c>
      <c r="I117" s="559" t="s">
        <v>1184</v>
      </c>
      <c r="J117" s="559" t="b">
        <f t="shared" si="3"/>
        <v>1</v>
      </c>
    </row>
    <row r="118" spans="1:10" hidden="1">
      <c r="A118" s="559" t="str">
        <f t="shared" si="2"/>
        <v>Residential_HVAC_Ductless Heat Pump_Propane Gal Saved per Unit</v>
      </c>
      <c r="B118" t="s">
        <v>1165</v>
      </c>
      <c r="C118" t="s">
        <v>95</v>
      </c>
      <c r="D118" t="s">
        <v>1241</v>
      </c>
      <c r="E118" s="568" t="s">
        <v>1229</v>
      </c>
      <c r="F118" s="574" t="e">
        <f>(F73*10^6)/91333</f>
        <v>#N/A</v>
      </c>
      <c r="G118" s="559" t="s">
        <v>1230</v>
      </c>
      <c r="H118" s="559" t="s">
        <v>1183</v>
      </c>
      <c r="I118" s="559" t="s">
        <v>1184</v>
      </c>
      <c r="J118" s="559" t="b">
        <f t="shared" si="3"/>
        <v>1</v>
      </c>
    </row>
    <row r="119" spans="1:10" hidden="1">
      <c r="A119" s="559" t="str">
        <f t="shared" si="2"/>
        <v>Residential_HVAC_Ductless Heat Pump_Lifetime (years)</v>
      </c>
      <c r="B119" t="s">
        <v>1165</v>
      </c>
      <c r="C119" t="s">
        <v>95</v>
      </c>
      <c r="D119" t="s">
        <v>1241</v>
      </c>
      <c r="E119" s="568" t="s">
        <v>1231</v>
      </c>
      <c r="F119" s="575">
        <v>16</v>
      </c>
      <c r="H119" s="559" t="s">
        <v>1183</v>
      </c>
      <c r="I119" s="559" t="s">
        <v>1184</v>
      </c>
      <c r="J119" s="559" t="b">
        <f t="shared" si="3"/>
        <v>0</v>
      </c>
    </row>
    <row r="120" spans="1:10" hidden="1">
      <c r="A120" s="559" t="str">
        <f t="shared" si="2"/>
        <v>Residential_HVAC_Ductless Heat Pump_Incremental Cost</v>
      </c>
      <c r="B120" t="s">
        <v>1165</v>
      </c>
      <c r="C120" t="s">
        <v>95</v>
      </c>
      <c r="D120" t="s">
        <v>1241</v>
      </c>
      <c r="E120" s="568" t="s">
        <v>1232</v>
      </c>
      <c r="F120" s="570" t="e">
        <f>2041*([18]Dashboard_FS!K15/12000)</f>
        <v>#REF!</v>
      </c>
      <c r="H120" s="559" t="s">
        <v>1183</v>
      </c>
      <c r="I120" s="559" t="s">
        <v>1184</v>
      </c>
      <c r="J120" s="559" t="b">
        <f t="shared" si="3"/>
        <v>1</v>
      </c>
    </row>
    <row r="121" spans="1:10" hidden="1">
      <c r="A121" s="559" t="str">
        <f t="shared" si="2"/>
        <v>Residential_HVAC_Ductless Heat Pump_BTU Impact_Existing_Fossil Fuel</v>
      </c>
      <c r="B121" t="s">
        <v>1165</v>
      </c>
      <c r="C121" t="s">
        <v>95</v>
      </c>
      <c r="D121" t="s">
        <v>1241</v>
      </c>
      <c r="E121" s="568" t="s">
        <v>1234</v>
      </c>
      <c r="F121" s="569" t="e">
        <f>-F73*10^6</f>
        <v>#N/A</v>
      </c>
      <c r="H121" s="559" t="s">
        <v>1183</v>
      </c>
      <c r="I121" s="559" t="s">
        <v>1184</v>
      </c>
      <c r="J121" s="559" t="b">
        <f t="shared" si="3"/>
        <v>1</v>
      </c>
    </row>
    <row r="122" spans="1:10" hidden="1">
      <c r="A122" s="559" t="str">
        <f t="shared" si="2"/>
        <v>Residential_HVAC_Ductless Heat Pump_BTU Impact_Existing_Winter Electricity</v>
      </c>
      <c r="B122" t="s">
        <v>1165</v>
      </c>
      <c r="C122" t="s">
        <v>95</v>
      </c>
      <c r="D122" t="s">
        <v>1241</v>
      </c>
      <c r="E122" s="568" t="s">
        <v>1235</v>
      </c>
      <c r="F122" s="569" t="e">
        <f>-F83*10^6</f>
        <v>#N/A</v>
      </c>
      <c r="H122" s="559" t="s">
        <v>1183</v>
      </c>
      <c r="I122" s="559" t="s">
        <v>1184</v>
      </c>
      <c r="J122" s="559" t="b">
        <f t="shared" si="3"/>
        <v>1</v>
      </c>
    </row>
    <row r="123" spans="1:10" hidden="1">
      <c r="A123" s="559" t="str">
        <f t="shared" si="2"/>
        <v>Residential_HVAC_Ductless Heat Pump_BTU Impact_Existing_Summer Electricity</v>
      </c>
      <c r="B123" t="s">
        <v>1165</v>
      </c>
      <c r="C123" t="s">
        <v>95</v>
      </c>
      <c r="D123" t="s">
        <v>1241</v>
      </c>
      <c r="E123" s="568" t="s">
        <v>1236</v>
      </c>
      <c r="F123" s="569" t="e">
        <f xml:space="preserve"> -(((F99 / F100 * (IF([18]Dashboard_FS!$K$16="Yes",1/F101,0) - 0))/F105 * F106) / F107)*10^6</f>
        <v>#N/A</v>
      </c>
      <c r="H123" s="559" t="s">
        <v>1183</v>
      </c>
      <c r="I123" s="559" t="s">
        <v>1184</v>
      </c>
      <c r="J123" s="559" t="b">
        <f t="shared" si="3"/>
        <v>1</v>
      </c>
    </row>
    <row r="124" spans="1:10" hidden="1">
      <c r="A124" s="559" t="str">
        <f t="shared" si="2"/>
        <v>Residential_HVAC_Ductless Heat Pump_BTU Impact_New_Fossil Fuel</v>
      </c>
      <c r="B124" t="s">
        <v>1165</v>
      </c>
      <c r="C124" t="s">
        <v>95</v>
      </c>
      <c r="D124" t="s">
        <v>1241</v>
      </c>
      <c r="E124" s="568" t="s">
        <v>1237</v>
      </c>
      <c r="F124" s="569">
        <v>0</v>
      </c>
      <c r="H124" s="559" t="s">
        <v>1183</v>
      </c>
      <c r="I124" s="559" t="s">
        <v>1184</v>
      </c>
      <c r="J124" s="559" t="b">
        <f t="shared" si="3"/>
        <v>0</v>
      </c>
    </row>
    <row r="125" spans="1:10" hidden="1">
      <c r="A125" s="559" t="str">
        <f t="shared" si="2"/>
        <v>Residential_HVAC_Ductless Heat Pump_BTU Impact_New_Winter Electricity</v>
      </c>
      <c r="B125" t="s">
        <v>1165</v>
      </c>
      <c r="C125" t="s">
        <v>95</v>
      </c>
      <c r="D125" t="s">
        <v>1241</v>
      </c>
      <c r="E125" s="568" t="s">
        <v>1238</v>
      </c>
      <c r="F125" s="569" t="e">
        <f>-F96*10^6</f>
        <v>#N/A</v>
      </c>
      <c r="H125" s="559" t="s">
        <v>1183</v>
      </c>
      <c r="I125" s="559" t="s">
        <v>1184</v>
      </c>
      <c r="J125" s="559" t="b">
        <f t="shared" si="3"/>
        <v>1</v>
      </c>
    </row>
    <row r="126" spans="1:10" hidden="1">
      <c r="A126" s="559" t="str">
        <f t="shared" si="2"/>
        <v>Residential_HVAC_Ductless Heat Pump_BTU Impact_New_Summer Electricity</v>
      </c>
      <c r="B126" t="s">
        <v>1165</v>
      </c>
      <c r="C126" t="s">
        <v>95</v>
      </c>
      <c r="D126" t="s">
        <v>1241</v>
      </c>
      <c r="E126" s="568" t="s">
        <v>1239</v>
      </c>
      <c r="F126" s="569" t="e">
        <f xml:space="preserve"> -(((F99 / F100 * (0 - 1/F103))/F105 * F106) / F107)*10^6</f>
        <v>#N/A</v>
      </c>
      <c r="H126" s="559" t="s">
        <v>1183</v>
      </c>
      <c r="I126" s="559" t="s">
        <v>1184</v>
      </c>
      <c r="J126" s="559" t="b">
        <f t="shared" si="3"/>
        <v>1</v>
      </c>
    </row>
    <row r="127" spans="1:10" hidden="1">
      <c r="A127" s="559" t="str">
        <f t="shared" si="2"/>
        <v>Residential_HVAC_Ductless Heat Pump_</v>
      </c>
      <c r="B127" t="s">
        <v>1165</v>
      </c>
      <c r="C127" t="s">
        <v>95</v>
      </c>
      <c r="D127" t="s">
        <v>1241</v>
      </c>
      <c r="J127" s="559" t="b">
        <f t="shared" si="3"/>
        <v>0</v>
      </c>
    </row>
    <row r="128" spans="1:10" hidden="1">
      <c r="A128" s="559" t="str">
        <f>B128&amp;"_"&amp;C128&amp;"_"&amp;D128&amp;"_"&amp;E128</f>
        <v>Residential_HVAC_Furnace_EFLH</v>
      </c>
      <c r="B128" t="s">
        <v>1165</v>
      </c>
      <c r="C128" t="s">
        <v>95</v>
      </c>
      <c r="D128" t="s">
        <v>70</v>
      </c>
      <c r="E128" s="560" t="s">
        <v>1181</v>
      </c>
      <c r="F128" s="561" t="e">
        <f>INDEX('[18]CZ Inputs'!$G:$G,MATCH($A128&amp;"_"&amp;[18]Dashboard_FS!$K$3,'[18]CZ Inputs'!$A:$A,0))</f>
        <v>#N/A</v>
      </c>
      <c r="G128" s="559" t="s">
        <v>1182</v>
      </c>
      <c r="H128" s="559" t="s">
        <v>1254</v>
      </c>
      <c r="I128" s="559" t="s">
        <v>1255</v>
      </c>
      <c r="J128" s="559" t="b">
        <f>_xlfn.ISFORMULA(F128)</f>
        <v>1</v>
      </c>
    </row>
    <row r="129" spans="1:10" hidden="1">
      <c r="A129" s="559" t="str">
        <f t="shared" ref="A129:A192" si="4">B129&amp;"_"&amp;C129&amp;"_"&amp;D129&amp;"_"&amp;E129</f>
        <v>Residential_HVAC_Ground Source Heat Pump_Capacity_ASHPheat (Btuh_Existing)</v>
      </c>
      <c r="B129" t="s">
        <v>1165</v>
      </c>
      <c r="C129" t="s">
        <v>95</v>
      </c>
      <c r="D129" t="s">
        <v>1256</v>
      </c>
      <c r="E129" s="560" t="s">
        <v>1186</v>
      </c>
      <c r="F129" s="561" t="e">
        <f>[18]Dashboard_FS!$K$10</f>
        <v>#REF!</v>
      </c>
      <c r="G129" s="559" t="s">
        <v>1187</v>
      </c>
      <c r="H129" s="559" t="s">
        <v>1254</v>
      </c>
      <c r="I129" s="559" t="s">
        <v>1255</v>
      </c>
      <c r="J129" s="559" t="b">
        <f t="shared" ref="J129:J192" si="5">_xlfn.ISFORMULA(F129)</f>
        <v>1</v>
      </c>
    </row>
    <row r="130" spans="1:10" hidden="1">
      <c r="A130" s="559" t="str">
        <f t="shared" si="4"/>
        <v>Residential_HVAC_Ground Source Heat Pump_HeatLoad</v>
      </c>
      <c r="B130" t="s">
        <v>1165</v>
      </c>
      <c r="C130" t="s">
        <v>95</v>
      </c>
      <c r="D130" t="s">
        <v>1256</v>
      </c>
      <c r="E130" s="560" t="s">
        <v>1257</v>
      </c>
      <c r="F130" s="561" t="e">
        <f xml:space="preserve"> F128 * F129</f>
        <v>#N/A</v>
      </c>
      <c r="H130" s="559" t="s">
        <v>1254</v>
      </c>
      <c r="I130" s="559" t="s">
        <v>1255</v>
      </c>
      <c r="J130" s="559" t="b">
        <f t="shared" si="5"/>
        <v>1</v>
      </c>
    </row>
    <row r="131" spans="1:10" hidden="1">
      <c r="A131" s="559" t="str">
        <f t="shared" si="4"/>
        <v>Residential_HVAC_Ground Source Heat Pump_AFUEbase</v>
      </c>
      <c r="B131" t="s">
        <v>1165</v>
      </c>
      <c r="C131" t="s">
        <v>95</v>
      </c>
      <c r="D131" t="s">
        <v>1256</v>
      </c>
      <c r="E131" s="560" t="s">
        <v>1193</v>
      </c>
      <c r="F131" s="561" t="e">
        <f>[18]Dashboard_FS!$K$8</f>
        <v>#REF!</v>
      </c>
      <c r="G131" s="559" t="s">
        <v>1187</v>
      </c>
      <c r="H131" s="559" t="s">
        <v>1254</v>
      </c>
      <c r="I131" s="559" t="s">
        <v>1255</v>
      </c>
      <c r="J131" s="559" t="b">
        <f t="shared" si="5"/>
        <v>1</v>
      </c>
    </row>
    <row r="132" spans="1:10" hidden="1">
      <c r="A132" s="559" t="str">
        <f t="shared" si="4"/>
        <v>Residential_HVAC_Ground Source Heat Pump_1000000</v>
      </c>
      <c r="B132" t="s">
        <v>1165</v>
      </c>
      <c r="C132" t="s">
        <v>95</v>
      </c>
      <c r="D132" t="s">
        <v>1256</v>
      </c>
      <c r="E132" s="562">
        <v>1000000</v>
      </c>
      <c r="F132" s="563">
        <v>1000000</v>
      </c>
      <c r="H132" s="559" t="s">
        <v>1254</v>
      </c>
      <c r="I132" s="559" t="s">
        <v>1255</v>
      </c>
      <c r="J132" s="559" t="b">
        <f t="shared" si="5"/>
        <v>0</v>
      </c>
    </row>
    <row r="133" spans="1:10" hidden="1">
      <c r="A133" s="559" t="str">
        <f t="shared" si="4"/>
        <v>Residential_HVAC_Ground Source Heat Pump_GasHeatReplaced</v>
      </c>
      <c r="B133" t="s">
        <v>1165</v>
      </c>
      <c r="C133" t="s">
        <v>95</v>
      </c>
      <c r="D133" t="s">
        <v>1256</v>
      </c>
      <c r="E133" s="560" t="s">
        <v>1194</v>
      </c>
      <c r="F133" s="561" t="e">
        <f xml:space="preserve"> ( F130 * 1 / F131 ) / F132</f>
        <v>#N/A</v>
      </c>
      <c r="H133" s="559" t="s">
        <v>1254</v>
      </c>
      <c r="I133" s="559" t="s">
        <v>1255</v>
      </c>
      <c r="J133" s="559" t="b">
        <f t="shared" si="5"/>
        <v>1</v>
      </c>
    </row>
    <row r="134" spans="1:10" hidden="1">
      <c r="A134" s="559" t="str">
        <f t="shared" si="4"/>
        <v>Residential_HVAC_Ground Source Heat Pump_FurnaceFlag</v>
      </c>
      <c r="B134" t="s">
        <v>1165</v>
      </c>
      <c r="C134" t="s">
        <v>95</v>
      </c>
      <c r="D134" t="s">
        <v>1256</v>
      </c>
      <c r="E134" s="562" t="s">
        <v>1195</v>
      </c>
      <c r="F134" s="563">
        <v>1</v>
      </c>
      <c r="G134" s="559" t="s">
        <v>1196</v>
      </c>
      <c r="H134" s="559" t="s">
        <v>1254</v>
      </c>
      <c r="I134" s="559" t="s">
        <v>1255</v>
      </c>
      <c r="J134" s="559" t="b">
        <f t="shared" si="5"/>
        <v>0</v>
      </c>
    </row>
    <row r="135" spans="1:10" hidden="1">
      <c r="A135" s="559" t="str">
        <f t="shared" si="4"/>
        <v>Residential_HVAC_Furnace_EFLH</v>
      </c>
      <c r="B135" t="s">
        <v>1165</v>
      </c>
      <c r="C135" t="s">
        <v>95</v>
      </c>
      <c r="D135" t="s">
        <v>70</v>
      </c>
      <c r="E135" s="560" t="s">
        <v>1181</v>
      </c>
      <c r="F135" s="561" t="e">
        <f>INDEX('[18]CZ Inputs'!$G:$G,MATCH($A135&amp;"_"&amp;[18]Dashboard_FS!$K$3,'[18]CZ Inputs'!$A:$A,0))</f>
        <v>#N/A</v>
      </c>
      <c r="G135" s="559" t="s">
        <v>1182</v>
      </c>
      <c r="H135" s="559" t="s">
        <v>1254</v>
      </c>
      <c r="I135" s="559" t="s">
        <v>1255</v>
      </c>
      <c r="J135" s="559" t="b">
        <f t="shared" si="5"/>
        <v>1</v>
      </c>
    </row>
    <row r="136" spans="1:10" hidden="1">
      <c r="A136" s="559" t="str">
        <f t="shared" si="4"/>
        <v>Residential_HVAC_Ground Source Heat Pump_Capacity_ASHPheat</v>
      </c>
      <c r="B136" t="s">
        <v>1165</v>
      </c>
      <c r="C136" t="s">
        <v>95</v>
      </c>
      <c r="D136" t="s">
        <v>1256</v>
      </c>
      <c r="E136" s="560" t="s">
        <v>1197</v>
      </c>
      <c r="F136" s="561" t="e">
        <f>[18]Dashboard_FS!$K$9</f>
        <v>#REF!</v>
      </c>
      <c r="G136" s="559" t="s">
        <v>1187</v>
      </c>
      <c r="H136" s="559" t="s">
        <v>1254</v>
      </c>
      <c r="I136" s="559" t="s">
        <v>1255</v>
      </c>
      <c r="J136" s="559" t="b">
        <f t="shared" si="5"/>
        <v>1</v>
      </c>
    </row>
    <row r="137" spans="1:10" hidden="1">
      <c r="A137" s="559" t="str">
        <f t="shared" si="4"/>
        <v>Residential_HVAC_Ground Source Heat Pump_HeatLoad</v>
      </c>
      <c r="B137" t="s">
        <v>1165</v>
      </c>
      <c r="C137" t="s">
        <v>95</v>
      </c>
      <c r="D137" t="s">
        <v>1256</v>
      </c>
      <c r="E137" s="560" t="s">
        <v>1257</v>
      </c>
      <c r="F137" s="561" t="e">
        <f xml:space="preserve"> F135 * F136</f>
        <v>#N/A</v>
      </c>
      <c r="H137" s="559" t="s">
        <v>1254</v>
      </c>
      <c r="I137" s="559" t="s">
        <v>1255</v>
      </c>
      <c r="J137" s="559" t="b">
        <f t="shared" si="5"/>
        <v>1</v>
      </c>
    </row>
    <row r="138" spans="1:10" hidden="1">
      <c r="A138" s="559" t="str">
        <f t="shared" si="4"/>
        <v>Residential_HVAC_Ground Source Heat Pump_AFUEbase</v>
      </c>
      <c r="B138" t="s">
        <v>1165</v>
      </c>
      <c r="C138" t="s">
        <v>95</v>
      </c>
      <c r="D138" t="s">
        <v>1256</v>
      </c>
      <c r="E138" s="560" t="s">
        <v>1193</v>
      </c>
      <c r="F138" s="561" t="e">
        <f>[18]Dashboard_FS!$K$8</f>
        <v>#REF!</v>
      </c>
      <c r="G138" s="559" t="s">
        <v>1187</v>
      </c>
      <c r="H138" s="559" t="s">
        <v>1254</v>
      </c>
      <c r="I138" s="559" t="s">
        <v>1255</v>
      </c>
      <c r="J138" s="559" t="b">
        <f t="shared" si="5"/>
        <v>1</v>
      </c>
    </row>
    <row r="139" spans="1:10" hidden="1">
      <c r="A139" s="559" t="str">
        <f t="shared" si="4"/>
        <v>Residential_HVAC_Ground Source Heat Pump_Fe</v>
      </c>
      <c r="B139" t="s">
        <v>1165</v>
      </c>
      <c r="C139" t="s">
        <v>95</v>
      </c>
      <c r="D139" t="s">
        <v>1256</v>
      </c>
      <c r="E139" s="562" t="s">
        <v>1198</v>
      </c>
      <c r="F139" s="563">
        <v>1.8799999999999997E-2</v>
      </c>
      <c r="H139" s="559" t="s">
        <v>1254</v>
      </c>
      <c r="I139" s="559" t="s">
        <v>1255</v>
      </c>
      <c r="J139" s="559" t="b">
        <f t="shared" si="5"/>
        <v>0</v>
      </c>
    </row>
    <row r="140" spans="1:10" hidden="1">
      <c r="A140" s="559" t="str">
        <f t="shared" si="4"/>
        <v>Residential_HVAC_Ground Source Heat Pump_1000000</v>
      </c>
      <c r="B140" t="s">
        <v>1165</v>
      </c>
      <c r="C140" t="s">
        <v>95</v>
      </c>
      <c r="D140" t="s">
        <v>1256</v>
      </c>
      <c r="E140" s="562">
        <v>1000000</v>
      </c>
      <c r="F140" s="563">
        <v>1000000</v>
      </c>
      <c r="H140" s="559" t="s">
        <v>1254</v>
      </c>
      <c r="I140" s="559" t="s">
        <v>1255</v>
      </c>
      <c r="J140" s="559" t="b">
        <f t="shared" si="5"/>
        <v>0</v>
      </c>
    </row>
    <row r="141" spans="1:10" hidden="1">
      <c r="A141" s="559" t="str">
        <f t="shared" si="4"/>
        <v>Residential_HVAC_Ground Source Heat Pump_FurnaceFanSavings</v>
      </c>
      <c r="B141" t="s">
        <v>1165</v>
      </c>
      <c r="C141" t="s">
        <v>95</v>
      </c>
      <c r="D141" t="s">
        <v>1256</v>
      </c>
      <c r="E141" s="560" t="s">
        <v>1199</v>
      </c>
      <c r="F141" s="561" t="e">
        <f xml:space="preserve"> ( F134 * F137 * 1 / F138 * F139 ) / F140</f>
        <v>#N/A</v>
      </c>
      <c r="G141" s="559" t="s">
        <v>1200</v>
      </c>
      <c r="H141" s="559" t="s">
        <v>1254</v>
      </c>
      <c r="I141" s="559" t="s">
        <v>1255</v>
      </c>
      <c r="J141" s="559" t="b">
        <f t="shared" si="5"/>
        <v>1</v>
      </c>
    </row>
    <row r="142" spans="1:10" hidden="1">
      <c r="A142" s="559" t="str">
        <f t="shared" si="4"/>
        <v>Residential_HVAC_Ground Source Heat Pump_FLH_GSHPheat</v>
      </c>
      <c r="B142" t="s">
        <v>1165</v>
      </c>
      <c r="C142" t="s">
        <v>95</v>
      </c>
      <c r="D142" t="s">
        <v>1256</v>
      </c>
      <c r="E142" s="560" t="s">
        <v>1258</v>
      </c>
      <c r="F142" s="561" t="e">
        <f>INDEX('[18]CZ Inputs'!$G:$G,MATCH($A142&amp;"_"&amp;[18]Dashboard_FS!$K$3,'[18]CZ Inputs'!$A:$A,0))</f>
        <v>#N/A</v>
      </c>
      <c r="G142" s="559" t="s">
        <v>1182</v>
      </c>
      <c r="H142" s="559" t="s">
        <v>1254</v>
      </c>
      <c r="I142" s="559" t="s">
        <v>1255</v>
      </c>
      <c r="J142" s="559" t="b">
        <f t="shared" si="5"/>
        <v>1</v>
      </c>
    </row>
    <row r="143" spans="1:10" hidden="1">
      <c r="A143" s="559" t="str">
        <f t="shared" si="4"/>
        <v>Residential_HVAC_Ground Source Heat Pump_Capacity_GSHPheat</v>
      </c>
      <c r="B143" t="s">
        <v>1165</v>
      </c>
      <c r="C143" t="s">
        <v>95</v>
      </c>
      <c r="D143" t="s">
        <v>1256</v>
      </c>
      <c r="E143" s="560" t="s">
        <v>1259</v>
      </c>
      <c r="F143" s="561" t="e">
        <f>[18]Dashboard_FS!$K$9</f>
        <v>#REF!</v>
      </c>
      <c r="G143" s="559" t="s">
        <v>1187</v>
      </c>
      <c r="H143" s="559" t="s">
        <v>1254</v>
      </c>
      <c r="I143" s="559" t="s">
        <v>1255</v>
      </c>
      <c r="J143" s="559" t="b">
        <f t="shared" si="5"/>
        <v>1</v>
      </c>
    </row>
    <row r="144" spans="1:10" hidden="1">
      <c r="A144" s="559" t="str">
        <f t="shared" si="4"/>
        <v>Residential_HVAC_Ground Source Heat Pump_HeatLoad</v>
      </c>
      <c r="B144" t="s">
        <v>1165</v>
      </c>
      <c r="C144" t="s">
        <v>95</v>
      </c>
      <c r="D144" t="s">
        <v>1256</v>
      </c>
      <c r="E144" s="560" t="s">
        <v>1257</v>
      </c>
      <c r="F144" s="561" t="e">
        <f xml:space="preserve"> F142 * F143</f>
        <v>#N/A</v>
      </c>
      <c r="H144" s="559" t="s">
        <v>1254</v>
      </c>
      <c r="I144" s="559" t="s">
        <v>1255</v>
      </c>
      <c r="J144" s="559" t="b">
        <f t="shared" si="5"/>
        <v>1</v>
      </c>
    </row>
    <row r="145" spans="1:10" hidden="1">
      <c r="A145" s="559" t="str">
        <f t="shared" si="4"/>
        <v>Residential_HVAC_Ground Source Heat Pump_COP_pl</v>
      </c>
      <c r="B145" t="s">
        <v>1165</v>
      </c>
      <c r="C145" t="s">
        <v>95</v>
      </c>
      <c r="D145" t="s">
        <v>1256</v>
      </c>
      <c r="E145" s="560" t="s">
        <v>1260</v>
      </c>
      <c r="F145" s="561" t="e">
        <f>[18]Dashboard_FS!$K$6</f>
        <v>#REF!</v>
      </c>
      <c r="G145" s="559" t="s">
        <v>1187</v>
      </c>
      <c r="H145" s="559" t="s">
        <v>1254</v>
      </c>
      <c r="I145" s="559" t="s">
        <v>1255</v>
      </c>
      <c r="J145" s="559" t="b">
        <f t="shared" si="5"/>
        <v>1</v>
      </c>
    </row>
    <row r="146" spans="1:10" hidden="1">
      <c r="A146" s="559" t="str">
        <f t="shared" si="4"/>
        <v>Residential_HVAC_Ground Source Heat Pump_3.412</v>
      </c>
      <c r="B146" t="s">
        <v>1165</v>
      </c>
      <c r="C146" t="s">
        <v>95</v>
      </c>
      <c r="D146" t="s">
        <v>1256</v>
      </c>
      <c r="E146" s="560">
        <v>3.4119999999999999</v>
      </c>
      <c r="F146" s="564">
        <v>3.4119999999999999</v>
      </c>
      <c r="H146" s="559" t="s">
        <v>1254</v>
      </c>
      <c r="I146" s="559" t="s">
        <v>1255</v>
      </c>
      <c r="J146" s="559" t="b">
        <f t="shared" si="5"/>
        <v>0</v>
      </c>
    </row>
    <row r="147" spans="1:10" hidden="1">
      <c r="A147" s="559" t="str">
        <f t="shared" si="4"/>
        <v>Residential_HVAC_Ground Source Heat Pump_1000</v>
      </c>
      <c r="B147" t="s">
        <v>1165</v>
      </c>
      <c r="C147" t="s">
        <v>95</v>
      </c>
      <c r="D147" t="s">
        <v>1256</v>
      </c>
      <c r="E147" s="562">
        <v>1000</v>
      </c>
      <c r="F147" s="563">
        <v>1000</v>
      </c>
      <c r="H147" s="559" t="s">
        <v>1254</v>
      </c>
      <c r="I147" s="559" t="s">
        <v>1255</v>
      </c>
      <c r="J147" s="559" t="b">
        <f t="shared" si="5"/>
        <v>0</v>
      </c>
    </row>
    <row r="148" spans="1:10" hidden="1">
      <c r="A148" s="559" t="str">
        <f t="shared" si="4"/>
        <v>Residential_HVAC_Ground Source Heat Pump_3412</v>
      </c>
      <c r="B148" t="s">
        <v>1165</v>
      </c>
      <c r="C148" t="s">
        <v>95</v>
      </c>
      <c r="D148" t="s">
        <v>1256</v>
      </c>
      <c r="E148" s="562">
        <v>3412</v>
      </c>
      <c r="F148" s="563">
        <v>3412</v>
      </c>
      <c r="H148" s="559" t="s">
        <v>1254</v>
      </c>
      <c r="I148" s="559" t="s">
        <v>1255</v>
      </c>
      <c r="J148" s="559" t="b">
        <f t="shared" si="5"/>
        <v>0</v>
      </c>
    </row>
    <row r="149" spans="1:10" hidden="1">
      <c r="A149" s="559" t="str">
        <f t="shared" si="4"/>
        <v>Residential_HVAC_Ground Source Heat Pump_1000000</v>
      </c>
      <c r="B149" t="s">
        <v>1165</v>
      </c>
      <c r="C149" t="s">
        <v>95</v>
      </c>
      <c r="D149" t="s">
        <v>1256</v>
      </c>
      <c r="E149" s="562">
        <v>1000000</v>
      </c>
      <c r="F149" s="563">
        <v>1000000</v>
      </c>
      <c r="H149" s="559" t="s">
        <v>1254</v>
      </c>
      <c r="I149" s="559" t="s">
        <v>1255</v>
      </c>
      <c r="J149" s="559" t="b">
        <f t="shared" si="5"/>
        <v>0</v>
      </c>
    </row>
    <row r="150" spans="1:10" hidden="1">
      <c r="A150" s="559" t="str">
        <f t="shared" si="4"/>
        <v>Residential_HVAC_Ground Source Heat Pump_GSHPSiteHeatConsumed</v>
      </c>
      <c r="B150" t="s">
        <v>1165</v>
      </c>
      <c r="C150" t="s">
        <v>95</v>
      </c>
      <c r="D150" t="s">
        <v>1256</v>
      </c>
      <c r="E150" s="560" t="s">
        <v>1261</v>
      </c>
      <c r="F150" s="561" t="e">
        <f xml:space="preserve"> - (F144 * (1/(F145 * F146))/F147) * F148 / F149</f>
        <v>#N/A</v>
      </c>
      <c r="H150" s="559" t="s">
        <v>1254</v>
      </c>
      <c r="I150" s="559" t="s">
        <v>1255</v>
      </c>
      <c r="J150" s="559" t="b">
        <f t="shared" si="5"/>
        <v>1</v>
      </c>
    </row>
    <row r="151" spans="1:10" hidden="1">
      <c r="A151" s="559" t="str">
        <f t="shared" si="4"/>
        <v>Residential_HVAC_Ground Source Heat Pump_FLHcool</v>
      </c>
      <c r="B151" t="s">
        <v>1165</v>
      </c>
      <c r="C151" t="s">
        <v>95</v>
      </c>
      <c r="D151" t="s">
        <v>1256</v>
      </c>
      <c r="E151" s="560" t="s">
        <v>1209</v>
      </c>
      <c r="F151" s="561" t="e">
        <f>INDEX('[18]CZ Inputs'!$G:$G,MATCH($A151&amp;"_"&amp;[18]Dashboard_FS!$K$3,'[18]CZ Inputs'!$A:$A,0))</f>
        <v>#N/A</v>
      </c>
      <c r="G151" s="559" t="s">
        <v>1182</v>
      </c>
      <c r="H151" s="559" t="s">
        <v>1254</v>
      </c>
      <c r="I151" s="559" t="s">
        <v>1255</v>
      </c>
      <c r="J151" s="559" t="b">
        <f t="shared" si="5"/>
        <v>1</v>
      </c>
    </row>
    <row r="152" spans="1:10" hidden="1">
      <c r="A152" s="559" t="str">
        <f t="shared" si="4"/>
        <v>Residential_HVAC_Ground Source Heat Pump_Capacity_GSHPcool</v>
      </c>
      <c r="B152" t="s">
        <v>1165</v>
      </c>
      <c r="C152" t="s">
        <v>95</v>
      </c>
      <c r="D152" t="s">
        <v>1256</v>
      </c>
      <c r="E152" s="560" t="s">
        <v>1262</v>
      </c>
      <c r="F152" s="561" t="e">
        <f>[18]Dashboard_FS!$K$15</f>
        <v>#REF!</v>
      </c>
      <c r="H152" s="559" t="s">
        <v>1254</v>
      </c>
      <c r="I152" s="559" t="s">
        <v>1255</v>
      </c>
      <c r="J152" s="559" t="b">
        <f t="shared" si="5"/>
        <v>1</v>
      </c>
    </row>
    <row r="153" spans="1:10" hidden="1">
      <c r="A153" s="559" t="str">
        <f t="shared" si="4"/>
        <v>Residential_HVAC_Ground Source Heat Pump_CoolingLoad</v>
      </c>
      <c r="B153" t="s">
        <v>1165</v>
      </c>
      <c r="C153" t="s">
        <v>95</v>
      </c>
      <c r="D153" t="s">
        <v>1256</v>
      </c>
      <c r="E153" s="560" t="s">
        <v>1211</v>
      </c>
      <c r="F153" s="561" t="e">
        <f>F151*F152</f>
        <v>#N/A</v>
      </c>
      <c r="H153" s="559" t="s">
        <v>1254</v>
      </c>
      <c r="I153" s="559" t="s">
        <v>1255</v>
      </c>
      <c r="J153" s="559" t="b">
        <f t="shared" si="5"/>
        <v>1</v>
      </c>
    </row>
    <row r="154" spans="1:10" hidden="1">
      <c r="A154" s="559" t="str">
        <f t="shared" si="4"/>
        <v>Residential_HVAC_Ground Source Heat Pump_SEER2_base</v>
      </c>
      <c r="B154" t="s">
        <v>1165</v>
      </c>
      <c r="C154" t="s">
        <v>95</v>
      </c>
      <c r="D154" t="s">
        <v>1256</v>
      </c>
      <c r="E154" s="560" t="s">
        <v>1212</v>
      </c>
      <c r="F154" s="561" t="e">
        <f>[18]Dashboard_FS!$K$14</f>
        <v>#REF!</v>
      </c>
      <c r="G154" s="559" t="s">
        <v>1187</v>
      </c>
      <c r="H154" s="559" t="s">
        <v>1254</v>
      </c>
      <c r="I154" s="559" t="s">
        <v>1255</v>
      </c>
      <c r="J154" s="559" t="b">
        <f t="shared" si="5"/>
        <v>1</v>
      </c>
    </row>
    <row r="155" spans="1:10" hidden="1">
      <c r="A155" s="559" t="str">
        <f t="shared" si="4"/>
        <v>Residential_HVAC_Ground Source Heat Pump_EER2_pl</v>
      </c>
      <c r="B155" t="s">
        <v>1165</v>
      </c>
      <c r="C155" t="s">
        <v>95</v>
      </c>
      <c r="D155" t="s">
        <v>1256</v>
      </c>
      <c r="E155" s="560" t="s">
        <v>1263</v>
      </c>
      <c r="F155" s="561" t="e">
        <f>[18]Dashboard_FS!$K$13</f>
        <v>#REF!</v>
      </c>
      <c r="G155" s="559" t="s">
        <v>1187</v>
      </c>
      <c r="H155" s="559" t="s">
        <v>1254</v>
      </c>
      <c r="I155" s="559" t="s">
        <v>1255</v>
      </c>
      <c r="J155" s="559" t="b">
        <f t="shared" si="5"/>
        <v>1</v>
      </c>
    </row>
    <row r="156" spans="1:10" hidden="1">
      <c r="A156" s="559" t="str">
        <f t="shared" si="4"/>
        <v>Residential_HVAC_Ground Source Heat Pump_1000</v>
      </c>
      <c r="B156" t="s">
        <v>1165</v>
      </c>
      <c r="C156" t="s">
        <v>95</v>
      </c>
      <c r="D156" t="s">
        <v>1256</v>
      </c>
      <c r="E156" s="562">
        <v>1000</v>
      </c>
      <c r="F156" s="563">
        <v>1000</v>
      </c>
      <c r="H156" s="559" t="s">
        <v>1254</v>
      </c>
      <c r="I156" s="559" t="s">
        <v>1255</v>
      </c>
      <c r="J156" s="559" t="b">
        <f t="shared" si="5"/>
        <v>0</v>
      </c>
    </row>
    <row r="157" spans="1:10" hidden="1">
      <c r="A157" s="559" t="str">
        <f t="shared" si="4"/>
        <v>Residential_HVAC_Ground Source Heat Pump_3412</v>
      </c>
      <c r="B157" t="s">
        <v>1165</v>
      </c>
      <c r="C157" t="s">
        <v>95</v>
      </c>
      <c r="D157" t="s">
        <v>1256</v>
      </c>
      <c r="E157" s="562">
        <v>3412</v>
      </c>
      <c r="F157" s="563">
        <v>3412</v>
      </c>
      <c r="H157" s="559" t="s">
        <v>1254</v>
      </c>
      <c r="I157" s="559" t="s">
        <v>1255</v>
      </c>
      <c r="J157" s="559" t="b">
        <f t="shared" si="5"/>
        <v>0</v>
      </c>
    </row>
    <row r="158" spans="1:10" hidden="1">
      <c r="A158" s="559" t="str">
        <f t="shared" si="4"/>
        <v>Residential_HVAC_Ground Source Heat Pump_1000000</v>
      </c>
      <c r="B158" t="s">
        <v>1165</v>
      </c>
      <c r="C158" t="s">
        <v>95</v>
      </c>
      <c r="D158" t="s">
        <v>1256</v>
      </c>
      <c r="E158" s="562">
        <v>1000000</v>
      </c>
      <c r="F158" s="563">
        <v>1000000</v>
      </c>
      <c r="H158" s="559" t="s">
        <v>1254</v>
      </c>
      <c r="I158" s="559" t="s">
        <v>1255</v>
      </c>
      <c r="J158" s="559" t="b">
        <f t="shared" si="5"/>
        <v>0</v>
      </c>
    </row>
    <row r="159" spans="1:10" hidden="1">
      <c r="A159" s="559" t="str">
        <f t="shared" si="4"/>
        <v>Residential_HVAC_Ground Source Heat Pump_GSHPSiteCoolingImpact</v>
      </c>
      <c r="B159" t="s">
        <v>1165</v>
      </c>
      <c r="C159" t="s">
        <v>95</v>
      </c>
      <c r="D159" t="s">
        <v>1256</v>
      </c>
      <c r="E159" s="560" t="s">
        <v>1264</v>
      </c>
      <c r="F159" s="566" t="e">
        <f>(F153*((IF([18]Dashboard_FS!$K$16="Yes",1/F154,0)-1/F155)/F156)*F157) / F158</f>
        <v>#N/A</v>
      </c>
      <c r="H159" s="559" t="s">
        <v>1254</v>
      </c>
      <c r="I159" s="559" t="s">
        <v>1255</v>
      </c>
      <c r="J159" s="559" t="b">
        <f t="shared" si="5"/>
        <v>1</v>
      </c>
    </row>
    <row r="160" spans="1:10" hidden="1">
      <c r="A160" s="559" t="str">
        <f t="shared" si="4"/>
        <v>Residential_HVAC_Ground Source Heat Pump_BTU_NewSiteCoolingImpact</v>
      </c>
      <c r="B160" t="s">
        <v>1165</v>
      </c>
      <c r="C160" t="s">
        <v>95</v>
      </c>
      <c r="D160" t="s">
        <v>1256</v>
      </c>
      <c r="E160" s="560" t="s">
        <v>1217</v>
      </c>
      <c r="F160" s="566" t="e">
        <f xml:space="preserve"> - ((( F153 * (0 - 1 / (F155)))/ F156 * F157 ) / F158)*10^6</f>
        <v>#N/A</v>
      </c>
      <c r="H160" s="559" t="s">
        <v>1254</v>
      </c>
      <c r="I160" s="559" t="s">
        <v>1255</v>
      </c>
      <c r="J160" s="559" t="b">
        <f t="shared" si="5"/>
        <v>1</v>
      </c>
    </row>
    <row r="161" spans="1:10" hidden="1">
      <c r="A161" s="559" t="str">
        <f t="shared" si="4"/>
        <v>Residential_HVAC_Ground Source Heat Pump_SiteEnergySavings (MMBTUs)</v>
      </c>
      <c r="B161" t="s">
        <v>1165</v>
      </c>
      <c r="C161" t="s">
        <v>95</v>
      </c>
      <c r="D161" t="s">
        <v>1256</v>
      </c>
      <c r="E161" s="567" t="s">
        <v>1218</v>
      </c>
      <c r="F161" s="561" t="e">
        <f xml:space="preserve"> F133 + F141 + F150 + F159</f>
        <v>#N/A</v>
      </c>
      <c r="H161" s="559" t="s">
        <v>1254</v>
      </c>
      <c r="I161" s="559" t="s">
        <v>1255</v>
      </c>
      <c r="J161" s="559" t="b">
        <f t="shared" si="5"/>
        <v>1</v>
      </c>
    </row>
    <row r="162" spans="1:10" hidden="1">
      <c r="A162" s="559" t="str">
        <f t="shared" si="4"/>
        <v>Residential_HVAC_Ground Source Heat Pump_Capacity_GSHPcool</v>
      </c>
      <c r="B162" t="s">
        <v>1165</v>
      </c>
      <c r="C162" t="s">
        <v>95</v>
      </c>
      <c r="D162" t="s">
        <v>1256</v>
      </c>
      <c r="E162" s="560" t="s">
        <v>1262</v>
      </c>
      <c r="F162" s="561" t="e">
        <f>[18]Dashboard_FS!$K$15</f>
        <v>#REF!</v>
      </c>
      <c r="H162" s="559" t="s">
        <v>1254</v>
      </c>
      <c r="I162" s="559" t="s">
        <v>1255</v>
      </c>
      <c r="J162" s="559" t="b">
        <f t="shared" si="5"/>
        <v>1</v>
      </c>
    </row>
    <row r="163" spans="1:10" hidden="1">
      <c r="A163" s="559" t="str">
        <f t="shared" si="4"/>
        <v>Residential_HVAC_Ground Source Heat Pump_EER2_base</v>
      </c>
      <c r="B163" t="s">
        <v>1165</v>
      </c>
      <c r="C163" t="s">
        <v>95</v>
      </c>
      <c r="D163" t="s">
        <v>1256</v>
      </c>
      <c r="E163" s="562" t="s">
        <v>1265</v>
      </c>
      <c r="F163" s="563">
        <v>10.6</v>
      </c>
      <c r="G163" s="559" t="s">
        <v>1222</v>
      </c>
      <c r="H163" s="559" t="s">
        <v>1254</v>
      </c>
      <c r="I163" s="559" t="s">
        <v>1255</v>
      </c>
      <c r="J163" s="559" t="b">
        <f t="shared" si="5"/>
        <v>0</v>
      </c>
    </row>
    <row r="164" spans="1:10" hidden="1">
      <c r="A164" s="559" t="str">
        <f t="shared" si="4"/>
        <v>Residential_HVAC_Ground Source Heat Pump_EER2_pl</v>
      </c>
      <c r="B164" t="s">
        <v>1165</v>
      </c>
      <c r="C164" t="s">
        <v>95</v>
      </c>
      <c r="D164" t="s">
        <v>1256</v>
      </c>
      <c r="E164" s="560" t="s">
        <v>1263</v>
      </c>
      <c r="F164" s="561" t="e">
        <f>[18]Dashboard_FS!$K$13</f>
        <v>#REF!</v>
      </c>
      <c r="G164" s="559" t="s">
        <v>1187</v>
      </c>
      <c r="H164" s="559" t="s">
        <v>1254</v>
      </c>
      <c r="I164" s="559" t="s">
        <v>1255</v>
      </c>
      <c r="J164" s="559" t="b">
        <f t="shared" si="5"/>
        <v>1</v>
      </c>
    </row>
    <row r="165" spans="1:10" hidden="1">
      <c r="A165" s="559" t="str">
        <f t="shared" si="4"/>
        <v>Residential_HVAC_Ground Source Heat Pump_1000</v>
      </c>
      <c r="B165" t="s">
        <v>1165</v>
      </c>
      <c r="C165" t="s">
        <v>95</v>
      </c>
      <c r="D165" t="s">
        <v>1256</v>
      </c>
      <c r="E165" s="562">
        <v>1000</v>
      </c>
      <c r="F165" s="563">
        <v>1000</v>
      </c>
      <c r="H165" s="559" t="s">
        <v>1254</v>
      </c>
      <c r="I165" s="559" t="s">
        <v>1255</v>
      </c>
      <c r="J165" s="559" t="b">
        <f t="shared" si="5"/>
        <v>0</v>
      </c>
    </row>
    <row r="166" spans="1:10" hidden="1">
      <c r="A166" s="559" t="str">
        <f t="shared" si="4"/>
        <v>Residential_HVAC_Ground Source Heat Pump_CF</v>
      </c>
      <c r="B166" t="s">
        <v>1165</v>
      </c>
      <c r="C166" t="s">
        <v>95</v>
      </c>
      <c r="D166" t="s">
        <v>1256</v>
      </c>
      <c r="E166" s="562" t="s">
        <v>1224</v>
      </c>
      <c r="F166" s="563">
        <v>0.72</v>
      </c>
      <c r="G166" s="559" t="s">
        <v>1266</v>
      </c>
      <c r="H166" s="559" t="s">
        <v>1254</v>
      </c>
      <c r="I166" s="559" t="s">
        <v>1255</v>
      </c>
      <c r="J166" s="559" t="b">
        <f t="shared" si="5"/>
        <v>0</v>
      </c>
    </row>
    <row r="167" spans="1:10" hidden="1">
      <c r="A167" s="559" t="str">
        <f t="shared" si="4"/>
        <v>Residential_HVAC_Ground Source Heat Pump_Delta_kW</v>
      </c>
      <c r="B167" t="s">
        <v>1165</v>
      </c>
      <c r="C167" t="s">
        <v>95</v>
      </c>
      <c r="D167" t="s">
        <v>1256</v>
      </c>
      <c r="E167" s="560" t="s">
        <v>1226</v>
      </c>
      <c r="F167" s="561" t="e">
        <f>(F162 * (1 / F163 - 1 / F164)) / F165 * F166</f>
        <v>#REF!</v>
      </c>
      <c r="H167" s="559" t="s">
        <v>1254</v>
      </c>
      <c r="I167" s="559" t="s">
        <v>1255</v>
      </c>
      <c r="J167" s="559" t="b">
        <f t="shared" si="5"/>
        <v>1</v>
      </c>
    </row>
    <row r="168" spans="1:10" hidden="1">
      <c r="A168" s="559" t="str">
        <f t="shared" si="4"/>
        <v>Residential_HVAC_Ground Source Heat Pump_%DHW Displaced</v>
      </c>
      <c r="B168" t="s">
        <v>1165</v>
      </c>
      <c r="C168" t="s">
        <v>95</v>
      </c>
      <c r="D168" t="s">
        <v>1256</v>
      </c>
      <c r="E168" s="562" t="s">
        <v>1267</v>
      </c>
      <c r="F168" s="563">
        <v>0</v>
      </c>
      <c r="G168" s="559" t="s">
        <v>1268</v>
      </c>
      <c r="H168" s="559" t="s">
        <v>1254</v>
      </c>
      <c r="I168" s="559" t="s">
        <v>1255</v>
      </c>
      <c r="J168" s="559" t="b">
        <f t="shared" si="5"/>
        <v>0</v>
      </c>
    </row>
    <row r="169" spans="1:10" hidden="1">
      <c r="A169" s="559" t="str">
        <f t="shared" si="4"/>
        <v>Residential_HVAC_Ground Source Heat Pump_EF_gas</v>
      </c>
      <c r="B169" t="s">
        <v>1165</v>
      </c>
      <c r="C169" t="s">
        <v>95</v>
      </c>
      <c r="D169" t="s">
        <v>1256</v>
      </c>
      <c r="E169" s="562" t="s">
        <v>1269</v>
      </c>
      <c r="F169" s="563">
        <f>0.6483 - (0.0017 * 40)</f>
        <v>0.58030000000000004</v>
      </c>
      <c r="G169" s="559" t="s">
        <v>1270</v>
      </c>
      <c r="H169" s="559" t="s">
        <v>1254</v>
      </c>
      <c r="I169" s="559" t="s">
        <v>1255</v>
      </c>
      <c r="J169" s="559" t="b">
        <f t="shared" si="5"/>
        <v>1</v>
      </c>
    </row>
    <row r="170" spans="1:10" hidden="1">
      <c r="A170" s="559" t="str">
        <f t="shared" si="4"/>
        <v>Residential_HVAC_Ground Source Heat Pump_EF_elec</v>
      </c>
      <c r="B170" t="s">
        <v>1165</v>
      </c>
      <c r="C170" t="s">
        <v>95</v>
      </c>
      <c r="D170" t="s">
        <v>1256</v>
      </c>
      <c r="E170" s="562" t="s">
        <v>1271</v>
      </c>
      <c r="F170" s="563">
        <f>0.96 - (0.0003 * 40)</f>
        <v>0.94799999999999995</v>
      </c>
      <c r="G170" s="559" t="s">
        <v>1270</v>
      </c>
      <c r="H170" s="559" t="s">
        <v>1254</v>
      </c>
      <c r="I170" s="559" t="s">
        <v>1255</v>
      </c>
      <c r="J170" s="559" t="b">
        <f t="shared" si="5"/>
        <v>1</v>
      </c>
    </row>
    <row r="171" spans="1:10" hidden="1">
      <c r="A171" s="559" t="str">
        <f t="shared" si="4"/>
        <v>Residential_HVAC_Ground Source Heat Pump_GPD</v>
      </c>
      <c r="B171" t="s">
        <v>1165</v>
      </c>
      <c r="C171" t="s">
        <v>95</v>
      </c>
      <c r="D171" t="s">
        <v>1256</v>
      </c>
      <c r="E171" s="562" t="s">
        <v>1272</v>
      </c>
      <c r="F171" s="563">
        <v>17.600000000000001</v>
      </c>
      <c r="H171" s="559" t="s">
        <v>1254</v>
      </c>
      <c r="I171" s="559" t="s">
        <v>1255</v>
      </c>
      <c r="J171" s="559" t="b">
        <f t="shared" si="5"/>
        <v>0</v>
      </c>
    </row>
    <row r="172" spans="1:10" hidden="1">
      <c r="A172" s="559" t="str">
        <f t="shared" si="4"/>
        <v>Residential_HVAC_Ground Source Heat Pump_Household</v>
      </c>
      <c r="B172" t="s">
        <v>1165</v>
      </c>
      <c r="C172" t="s">
        <v>95</v>
      </c>
      <c r="D172" t="s">
        <v>1256</v>
      </c>
      <c r="E172" s="562" t="s">
        <v>1273</v>
      </c>
      <c r="F172" s="563">
        <v>2.56</v>
      </c>
      <c r="G172" s="559" t="s">
        <v>1240</v>
      </c>
      <c r="H172" s="559" t="s">
        <v>1254</v>
      </c>
      <c r="I172" s="559" t="s">
        <v>1255</v>
      </c>
      <c r="J172" s="559" t="b">
        <f t="shared" si="5"/>
        <v>0</v>
      </c>
    </row>
    <row r="173" spans="1:10" hidden="1">
      <c r="A173" s="559" t="str">
        <f t="shared" si="4"/>
        <v>Residential_HVAC_Ground Source Heat Pump_365.25</v>
      </c>
      <c r="B173" t="s">
        <v>1165</v>
      </c>
      <c r="C173" t="s">
        <v>95</v>
      </c>
      <c r="D173" t="s">
        <v>1256</v>
      </c>
      <c r="E173" s="562">
        <v>365.25</v>
      </c>
      <c r="F173" s="563">
        <v>365.25</v>
      </c>
      <c r="H173" s="559" t="s">
        <v>1254</v>
      </c>
      <c r="I173" s="559" t="s">
        <v>1255</v>
      </c>
      <c r="J173" s="559" t="b">
        <f t="shared" si="5"/>
        <v>0</v>
      </c>
    </row>
    <row r="174" spans="1:10" hidden="1">
      <c r="A174" s="559" t="str">
        <f t="shared" si="4"/>
        <v>Residential_HVAC_Ground Source Heat Pump_yWater</v>
      </c>
      <c r="B174" t="s">
        <v>1165</v>
      </c>
      <c r="C174" t="s">
        <v>95</v>
      </c>
      <c r="D174" t="s">
        <v>1256</v>
      </c>
      <c r="E174" s="562" t="s">
        <v>1274</v>
      </c>
      <c r="F174" s="563">
        <v>8.33</v>
      </c>
      <c r="H174" s="559" t="s">
        <v>1254</v>
      </c>
      <c r="I174" s="559" t="s">
        <v>1255</v>
      </c>
      <c r="J174" s="559" t="b">
        <f t="shared" si="5"/>
        <v>0</v>
      </c>
    </row>
    <row r="175" spans="1:10" hidden="1">
      <c r="A175" s="559" t="str">
        <f t="shared" si="4"/>
        <v>Residential_HVAC_Ground Source Heat Pump_T_out</v>
      </c>
      <c r="B175" t="s">
        <v>1165</v>
      </c>
      <c r="C175" t="s">
        <v>95</v>
      </c>
      <c r="D175" t="s">
        <v>1256</v>
      </c>
      <c r="E175" s="562" t="s">
        <v>1275</v>
      </c>
      <c r="F175" s="563">
        <v>125</v>
      </c>
      <c r="H175" s="559" t="s">
        <v>1254</v>
      </c>
      <c r="I175" s="559" t="s">
        <v>1255</v>
      </c>
      <c r="J175" s="559" t="b">
        <f t="shared" si="5"/>
        <v>0</v>
      </c>
    </row>
    <row r="176" spans="1:10" hidden="1">
      <c r="A176" s="559" t="str">
        <f t="shared" si="4"/>
        <v>Residential_HVAC_Ground Source Heat Pump_T_in</v>
      </c>
      <c r="B176" t="s">
        <v>1165</v>
      </c>
      <c r="C176" t="s">
        <v>95</v>
      </c>
      <c r="D176" t="s">
        <v>1256</v>
      </c>
      <c r="E176" s="562" t="s">
        <v>1276</v>
      </c>
      <c r="F176" s="563">
        <v>50.7</v>
      </c>
      <c r="H176" s="559" t="s">
        <v>1254</v>
      </c>
      <c r="I176" s="559" t="s">
        <v>1255</v>
      </c>
      <c r="J176" s="559" t="b">
        <f t="shared" si="5"/>
        <v>0</v>
      </c>
    </row>
    <row r="177" spans="1:10" hidden="1">
      <c r="A177" s="559" t="str">
        <f t="shared" si="4"/>
        <v>Residential_HVAC_Ground Source Heat Pump_1</v>
      </c>
      <c r="B177" t="s">
        <v>1165</v>
      </c>
      <c r="C177" t="s">
        <v>95</v>
      </c>
      <c r="D177" t="s">
        <v>1256</v>
      </c>
      <c r="E177" s="562">
        <v>1</v>
      </c>
      <c r="F177" s="563">
        <v>1</v>
      </c>
      <c r="H177" s="559" t="s">
        <v>1254</v>
      </c>
      <c r="I177" s="559" t="s">
        <v>1255</v>
      </c>
      <c r="J177" s="559" t="b">
        <f t="shared" si="5"/>
        <v>0</v>
      </c>
    </row>
    <row r="178" spans="1:10" hidden="1">
      <c r="A178" s="559" t="str">
        <f t="shared" si="4"/>
        <v>Residential_HVAC_Ground Source Heat Pump_1000000</v>
      </c>
      <c r="B178" t="s">
        <v>1165</v>
      </c>
      <c r="C178" t="s">
        <v>95</v>
      </c>
      <c r="D178" t="s">
        <v>1256</v>
      </c>
      <c r="E178" s="562">
        <v>1000000</v>
      </c>
      <c r="F178" s="576">
        <v>1000000</v>
      </c>
      <c r="H178" s="559" t="s">
        <v>1254</v>
      </c>
      <c r="I178" s="559" t="s">
        <v>1255</v>
      </c>
      <c r="J178" s="559" t="b">
        <f t="shared" si="5"/>
        <v>0</v>
      </c>
    </row>
    <row r="179" spans="1:10" hidden="1">
      <c r="A179" s="559" t="str">
        <f t="shared" si="4"/>
        <v>Residential_HVAC_Ground Source Heat Pump_GSHPSiteWaterImpact_gas</v>
      </c>
      <c r="B179" t="s">
        <v>1165</v>
      </c>
      <c r="C179" t="s">
        <v>95</v>
      </c>
      <c r="D179" t="s">
        <v>1256</v>
      </c>
      <c r="E179" s="560" t="s">
        <v>1277</v>
      </c>
      <c r="F179" s="561">
        <f>(F168*(1/F169*F171*F172*F173*F174*(F175-F176)*F177))/F178</f>
        <v>0</v>
      </c>
      <c r="H179" s="559" t="s">
        <v>1254</v>
      </c>
      <c r="I179" s="559" t="s">
        <v>1255</v>
      </c>
      <c r="J179" s="559" t="b">
        <f t="shared" si="5"/>
        <v>1</v>
      </c>
    </row>
    <row r="180" spans="1:10" hidden="1">
      <c r="A180" s="559" t="str">
        <f t="shared" si="4"/>
        <v>Residential_HVAC_Ground Source Heat Pump_GSHPSiteWaterImpact_elec</v>
      </c>
      <c r="B180" t="s">
        <v>1165</v>
      </c>
      <c r="C180" t="s">
        <v>95</v>
      </c>
      <c r="D180" t="s">
        <v>1256</v>
      </c>
      <c r="E180" s="560" t="s">
        <v>1278</v>
      </c>
      <c r="F180" s="561">
        <f>(F168*(1/F170*F171*F172*F173*F174*(F175-F176)*F177))/F178</f>
        <v>0</v>
      </c>
      <c r="H180" s="559" t="s">
        <v>1254</v>
      </c>
      <c r="I180" s="559" t="s">
        <v>1255</v>
      </c>
      <c r="J180" s="559" t="b">
        <f t="shared" si="5"/>
        <v>1</v>
      </c>
    </row>
    <row r="181" spans="1:10" hidden="1">
      <c r="A181" s="559" t="str">
        <f t="shared" si="4"/>
        <v>Residential_HVAC_Ground Source Heat Pump_kWh Saved per Unit</v>
      </c>
      <c r="B181" t="s">
        <v>1165</v>
      </c>
      <c r="C181" t="s">
        <v>95</v>
      </c>
      <c r="D181" t="s">
        <v>1256</v>
      </c>
      <c r="E181" s="568" t="s">
        <v>1227</v>
      </c>
      <c r="F181" s="569" t="e">
        <f>((F141+F150+F159)*10^6)/3412</f>
        <v>#N/A</v>
      </c>
      <c r="H181" s="559" t="s">
        <v>1254</v>
      </c>
      <c r="I181" s="559" t="s">
        <v>1255</v>
      </c>
      <c r="J181" s="559" t="b">
        <f t="shared" si="5"/>
        <v>1</v>
      </c>
    </row>
    <row r="182" spans="1:10" hidden="1">
      <c r="A182" s="559" t="str">
        <f t="shared" si="4"/>
        <v>Residential_HVAC_Ground Source Heat Pump_Coincident Peak kW Saved per Unit</v>
      </c>
      <c r="B182" t="s">
        <v>1165</v>
      </c>
      <c r="C182" t="s">
        <v>95</v>
      </c>
      <c r="D182" t="s">
        <v>1256</v>
      </c>
      <c r="E182" s="568" t="s">
        <v>1228</v>
      </c>
      <c r="F182" s="569" t="e">
        <f>F167</f>
        <v>#REF!</v>
      </c>
      <c r="H182" s="559" t="s">
        <v>1254</v>
      </c>
      <c r="I182" s="559" t="s">
        <v>1255</v>
      </c>
      <c r="J182" s="559" t="b">
        <f t="shared" si="5"/>
        <v>1</v>
      </c>
    </row>
    <row r="183" spans="1:10" hidden="1">
      <c r="A183" s="559" t="str">
        <f t="shared" si="4"/>
        <v>Residential_HVAC_Ground Source Heat Pump_Propane Gal Saved per Unit</v>
      </c>
      <c r="B183" t="s">
        <v>1165</v>
      </c>
      <c r="C183" t="s">
        <v>95</v>
      </c>
      <c r="D183" t="s">
        <v>1256</v>
      </c>
      <c r="E183" s="568" t="s">
        <v>1229</v>
      </c>
      <c r="F183" s="569" t="e">
        <f>(F133*10^6)/91333</f>
        <v>#N/A</v>
      </c>
      <c r="G183" s="559" t="s">
        <v>1230</v>
      </c>
      <c r="H183" s="559" t="s">
        <v>1254</v>
      </c>
      <c r="I183" s="559" t="s">
        <v>1255</v>
      </c>
      <c r="J183" s="559" t="b">
        <f t="shared" si="5"/>
        <v>1</v>
      </c>
    </row>
    <row r="184" spans="1:10" hidden="1">
      <c r="A184" s="559" t="str">
        <f t="shared" si="4"/>
        <v>Residential_HVAC_Ground Source Heat Pump_Lifetime (years)</v>
      </c>
      <c r="B184" t="s">
        <v>1165</v>
      </c>
      <c r="C184" t="s">
        <v>95</v>
      </c>
      <c r="D184" t="s">
        <v>1256</v>
      </c>
      <c r="E184" s="568" t="s">
        <v>1231</v>
      </c>
      <c r="F184" s="569">
        <v>16</v>
      </c>
      <c r="H184" s="559" t="s">
        <v>1254</v>
      </c>
      <c r="I184" s="559" t="s">
        <v>1255</v>
      </c>
      <c r="J184" s="559" t="b">
        <f t="shared" si="5"/>
        <v>0</v>
      </c>
    </row>
    <row r="185" spans="1:10" hidden="1">
      <c r="A185" s="559" t="str">
        <f t="shared" si="4"/>
        <v>Residential_HVAC_Ground Source Heat Pump_Incremental Cost</v>
      </c>
      <c r="B185" t="s">
        <v>1165</v>
      </c>
      <c r="C185" t="s">
        <v>95</v>
      </c>
      <c r="D185" t="s">
        <v>1256</v>
      </c>
      <c r="E185" s="568" t="s">
        <v>1232</v>
      </c>
      <c r="F185" s="570" t="e">
        <f>3957 * (F129 / 12000)</f>
        <v>#REF!</v>
      </c>
      <c r="H185" s="559" t="s">
        <v>1254</v>
      </c>
      <c r="I185" s="559" t="s">
        <v>1255</v>
      </c>
      <c r="J185" s="559" t="b">
        <f t="shared" si="5"/>
        <v>1</v>
      </c>
    </row>
    <row r="186" spans="1:10" hidden="1">
      <c r="A186" s="559" t="str">
        <f t="shared" si="4"/>
        <v>Residential_HVAC_Ground Source Heat Pump_BTU Impact_Existing_Fossil Fuel</v>
      </c>
      <c r="B186" t="s">
        <v>1165</v>
      </c>
      <c r="C186" t="s">
        <v>95</v>
      </c>
      <c r="D186" t="s">
        <v>1256</v>
      </c>
      <c r="E186" s="568" t="s">
        <v>1234</v>
      </c>
      <c r="F186" s="569" t="e">
        <f>-F133*10^6</f>
        <v>#N/A</v>
      </c>
      <c r="H186" s="559" t="s">
        <v>1254</v>
      </c>
      <c r="I186" s="559" t="s">
        <v>1255</v>
      </c>
      <c r="J186" s="559" t="b">
        <f t="shared" si="5"/>
        <v>1</v>
      </c>
    </row>
    <row r="187" spans="1:10" hidden="1">
      <c r="A187" s="559" t="str">
        <f t="shared" si="4"/>
        <v>Residential_HVAC_Ground Source Heat Pump_BTU Impact_Existing_Winter Electricity</v>
      </c>
      <c r="B187" t="s">
        <v>1165</v>
      </c>
      <c r="C187" t="s">
        <v>95</v>
      </c>
      <c r="D187" t="s">
        <v>1256</v>
      </c>
      <c r="E187" s="568" t="s">
        <v>1235</v>
      </c>
      <c r="F187" s="569" t="e">
        <f>-F141*10^6</f>
        <v>#N/A</v>
      </c>
      <c r="H187" s="559" t="s">
        <v>1254</v>
      </c>
      <c r="I187" s="559" t="s">
        <v>1255</v>
      </c>
      <c r="J187" s="559" t="b">
        <f t="shared" si="5"/>
        <v>1</v>
      </c>
    </row>
    <row r="188" spans="1:10" hidden="1">
      <c r="A188" s="559" t="str">
        <f t="shared" si="4"/>
        <v>Residential_HVAC_Ground Source Heat Pump_BTU Impact_Existing_Summer Electricity</v>
      </c>
      <c r="B188" t="s">
        <v>1165</v>
      </c>
      <c r="C188" t="s">
        <v>95</v>
      </c>
      <c r="D188" t="s">
        <v>1256</v>
      </c>
      <c r="E188" s="568" t="s">
        <v>1236</v>
      </c>
      <c r="F188" s="569" t="e">
        <f xml:space="preserve"> -((( F153 * (IF([18]Dashboard_FS!$K$16="Yes",1/(F154),0) - 0))/ F156 * F157 ) / F158)*10^6</f>
        <v>#N/A</v>
      </c>
      <c r="H188" s="559" t="s">
        <v>1254</v>
      </c>
      <c r="I188" s="559" t="s">
        <v>1255</v>
      </c>
      <c r="J188" s="559" t="b">
        <f t="shared" si="5"/>
        <v>1</v>
      </c>
    </row>
    <row r="189" spans="1:10" hidden="1">
      <c r="A189" s="559" t="str">
        <f t="shared" si="4"/>
        <v>Residential_HVAC_Ground Source Heat Pump_BTU Impact_New_Fossil Fuel</v>
      </c>
      <c r="B189" t="s">
        <v>1165</v>
      </c>
      <c r="C189" t="s">
        <v>95</v>
      </c>
      <c r="D189" t="s">
        <v>1256</v>
      </c>
      <c r="E189" s="568" t="s">
        <v>1237</v>
      </c>
      <c r="F189" s="569">
        <v>0</v>
      </c>
      <c r="H189" s="559" t="s">
        <v>1254</v>
      </c>
      <c r="I189" s="559" t="s">
        <v>1255</v>
      </c>
      <c r="J189" s="559" t="b">
        <f t="shared" si="5"/>
        <v>0</v>
      </c>
    </row>
    <row r="190" spans="1:10" hidden="1">
      <c r="A190" s="559" t="str">
        <f t="shared" si="4"/>
        <v>Residential_HVAC_Ground Source Heat Pump_BTU Impact_New_Winter Electricity</v>
      </c>
      <c r="B190" t="s">
        <v>1165</v>
      </c>
      <c r="C190" t="s">
        <v>95</v>
      </c>
      <c r="D190" t="s">
        <v>1256</v>
      </c>
      <c r="E190" s="568" t="s">
        <v>1238</v>
      </c>
      <c r="F190" s="569" t="e">
        <f>-F150*10^6</f>
        <v>#N/A</v>
      </c>
      <c r="H190" s="559" t="s">
        <v>1254</v>
      </c>
      <c r="I190" s="559" t="s">
        <v>1255</v>
      </c>
      <c r="J190" s="559" t="b">
        <f t="shared" si="5"/>
        <v>1</v>
      </c>
    </row>
    <row r="191" spans="1:10" hidden="1">
      <c r="A191" s="559" t="str">
        <f t="shared" si="4"/>
        <v>Residential_HVAC_Ground Source Heat Pump_BTU Impact_New_Summer Electricity</v>
      </c>
      <c r="B191" t="s">
        <v>1165</v>
      </c>
      <c r="C191" t="s">
        <v>95</v>
      </c>
      <c r="D191" t="s">
        <v>1256</v>
      </c>
      <c r="E191" s="568" t="s">
        <v>1239</v>
      </c>
      <c r="F191" s="569" t="e">
        <f xml:space="preserve"> - ((( F153 * (0 - 1/( F155)))/ F156 * F157 ) / F158)*10^6</f>
        <v>#N/A</v>
      </c>
      <c r="H191" s="559" t="s">
        <v>1254</v>
      </c>
      <c r="I191" s="559" t="s">
        <v>1255</v>
      </c>
      <c r="J191" s="559" t="b">
        <f t="shared" si="5"/>
        <v>1</v>
      </c>
    </row>
    <row r="192" spans="1:10" hidden="1">
      <c r="A192" s="559" t="str">
        <f t="shared" si="4"/>
        <v>Residential_HVAC_Ground Source Heat Pump_</v>
      </c>
      <c r="B192" t="s">
        <v>1165</v>
      </c>
      <c r="C192" t="s">
        <v>95</v>
      </c>
      <c r="D192" t="s">
        <v>1256</v>
      </c>
      <c r="H192" s="559" t="s">
        <v>1254</v>
      </c>
      <c r="I192" s="559" t="s">
        <v>1255</v>
      </c>
      <c r="J192" s="559" t="b">
        <f t="shared" si="5"/>
        <v>0</v>
      </c>
    </row>
    <row r="193" spans="1:10">
      <c r="A193" s="559" t="str">
        <f t="shared" si="2"/>
        <v>Residential_Hot Water_Heat Pump Water Heater_UEFBASE</v>
      </c>
      <c r="B193" t="s">
        <v>1165</v>
      </c>
      <c r="C193" t="s">
        <v>1167</v>
      </c>
      <c r="D193" t="s">
        <v>44</v>
      </c>
      <c r="E193" s="560" t="s">
        <v>1279</v>
      </c>
      <c r="F193" s="598">
        <f xml:space="preserve"> 0.9307 - (0.0002 * 50)</f>
        <v>0.92069999999999996</v>
      </c>
      <c r="G193" s="559" t="s">
        <v>1280</v>
      </c>
      <c r="H193" s="559" t="s">
        <v>1281</v>
      </c>
      <c r="I193" s="559" t="s">
        <v>1282</v>
      </c>
      <c r="J193" s="559" t="b">
        <f t="shared" si="3"/>
        <v>1</v>
      </c>
    </row>
    <row r="194" spans="1:10">
      <c r="A194" s="559" t="str">
        <f t="shared" si="2"/>
        <v>Residential_Hot Water_Heat Pump Water Heater_UEFEFFICIENT</v>
      </c>
      <c r="B194" t="s">
        <v>1165</v>
      </c>
      <c r="C194" t="s">
        <v>1167</v>
      </c>
      <c r="D194" t="s">
        <v>44</v>
      </c>
      <c r="E194" s="562" t="s">
        <v>1283</v>
      </c>
      <c r="F194" s="563">
        <f>'WH Bill Analysis'!L9</f>
        <v>0</v>
      </c>
      <c r="G194" s="559" t="s">
        <v>1284</v>
      </c>
      <c r="H194" s="559" t="s">
        <v>1281</v>
      </c>
      <c r="I194" s="559" t="s">
        <v>1282</v>
      </c>
      <c r="J194" s="559" t="b">
        <f t="shared" si="3"/>
        <v>1</v>
      </c>
    </row>
    <row r="195" spans="1:10">
      <c r="A195" s="559" t="str">
        <f t="shared" si="2"/>
        <v>Residential_Hot Water_Heat Pump Water Heater_GPD</v>
      </c>
      <c r="B195" t="s">
        <v>1165</v>
      </c>
      <c r="C195" t="s">
        <v>1167</v>
      </c>
      <c r="D195" t="s">
        <v>44</v>
      </c>
      <c r="E195" s="562" t="s">
        <v>1272</v>
      </c>
      <c r="F195" s="563">
        <v>17.600000000000001</v>
      </c>
      <c r="H195" s="559" t="s">
        <v>1281</v>
      </c>
      <c r="I195" s="559" t="s">
        <v>1282</v>
      </c>
      <c r="J195" s="559" t="b">
        <f t="shared" si="3"/>
        <v>0</v>
      </c>
    </row>
    <row r="196" spans="1:10">
      <c r="A196" s="559" t="str">
        <f t="shared" si="2"/>
        <v>Residential_Hot Water_Heat Pump Water Heater_Household</v>
      </c>
      <c r="B196" t="s">
        <v>1165</v>
      </c>
      <c r="C196" t="s">
        <v>1167</v>
      </c>
      <c r="D196" t="s">
        <v>44</v>
      </c>
      <c r="E196" s="562" t="s">
        <v>1273</v>
      </c>
      <c r="F196" s="563">
        <v>2.56</v>
      </c>
      <c r="G196" s="559" t="s">
        <v>1285</v>
      </c>
      <c r="H196" s="559" t="s">
        <v>1281</v>
      </c>
      <c r="I196" s="559" t="s">
        <v>1282</v>
      </c>
      <c r="J196" s="559" t="b">
        <f t="shared" si="3"/>
        <v>0</v>
      </c>
    </row>
    <row r="197" spans="1:10">
      <c r="A197" s="559" t="str">
        <f t="shared" si="2"/>
        <v>Residential_Hot Water_Heat Pump Water Heater_365.25</v>
      </c>
      <c r="B197" t="s">
        <v>1165</v>
      </c>
      <c r="C197" t="s">
        <v>1167</v>
      </c>
      <c r="D197" t="s">
        <v>44</v>
      </c>
      <c r="E197" s="562">
        <v>365.25</v>
      </c>
      <c r="F197" s="563">
        <v>365.25</v>
      </c>
      <c r="H197" s="559" t="s">
        <v>1281</v>
      </c>
      <c r="I197" s="559" t="s">
        <v>1282</v>
      </c>
      <c r="J197" s="559" t="b">
        <f t="shared" si="3"/>
        <v>0</v>
      </c>
    </row>
    <row r="198" spans="1:10">
      <c r="A198" s="559" t="str">
        <f t="shared" si="2"/>
        <v>Residential_Hot Water_Heat Pump Water Heater_γWater</v>
      </c>
      <c r="B198" t="s">
        <v>1165</v>
      </c>
      <c r="C198" t="s">
        <v>1167</v>
      </c>
      <c r="D198" t="s">
        <v>44</v>
      </c>
      <c r="E198" s="562" t="s">
        <v>1286</v>
      </c>
      <c r="F198" s="563">
        <v>8.33</v>
      </c>
      <c r="H198" s="559" t="s">
        <v>1281</v>
      </c>
      <c r="I198" s="559" t="s">
        <v>1282</v>
      </c>
      <c r="J198" s="559" t="b">
        <f t="shared" si="3"/>
        <v>0</v>
      </c>
    </row>
    <row r="199" spans="1:10">
      <c r="A199" s="559" t="str">
        <f t="shared" si="2"/>
        <v>Residential_Hot Water_Heat Pump Water Heater_TOUT</v>
      </c>
      <c r="B199" t="s">
        <v>1165</v>
      </c>
      <c r="C199" t="s">
        <v>1167</v>
      </c>
      <c r="D199" t="s">
        <v>44</v>
      </c>
      <c r="E199" s="562" t="s">
        <v>1287</v>
      </c>
      <c r="F199" s="563">
        <v>125</v>
      </c>
      <c r="H199" s="559" t="s">
        <v>1281</v>
      </c>
      <c r="I199" s="559" t="s">
        <v>1282</v>
      </c>
      <c r="J199" s="559" t="b">
        <f t="shared" si="3"/>
        <v>0</v>
      </c>
    </row>
    <row r="200" spans="1:10">
      <c r="A200" s="559" t="str">
        <f t="shared" si="2"/>
        <v>Residential_Hot Water_Heat Pump Water Heater_TIN</v>
      </c>
      <c r="B200" t="s">
        <v>1165</v>
      </c>
      <c r="C200" t="s">
        <v>1167</v>
      </c>
      <c r="D200" t="s">
        <v>44</v>
      </c>
      <c r="E200" s="562" t="s">
        <v>1288</v>
      </c>
      <c r="F200" s="563">
        <v>50.7</v>
      </c>
      <c r="H200" s="559" t="s">
        <v>1281</v>
      </c>
      <c r="I200" s="559" t="s">
        <v>1282</v>
      </c>
      <c r="J200" s="559" t="b">
        <f t="shared" si="3"/>
        <v>0</v>
      </c>
    </row>
    <row r="201" spans="1:10">
      <c r="A201" s="559" t="str">
        <f t="shared" si="2"/>
        <v>Residential_Hot Water_Heat Pump Water Heater_3412</v>
      </c>
      <c r="B201" t="s">
        <v>1165</v>
      </c>
      <c r="C201" t="s">
        <v>1167</v>
      </c>
      <c r="D201" t="s">
        <v>44</v>
      </c>
      <c r="E201" s="562">
        <v>3412</v>
      </c>
      <c r="F201" s="563">
        <v>3412</v>
      </c>
      <c r="H201" s="559" t="s">
        <v>1281</v>
      </c>
      <c r="I201" s="559" t="s">
        <v>1282</v>
      </c>
      <c r="J201" s="559" t="b">
        <f t="shared" si="3"/>
        <v>0</v>
      </c>
    </row>
    <row r="202" spans="1:10">
      <c r="A202" s="559" t="str">
        <f t="shared" si="2"/>
        <v>Residential_Hot Water_Heat Pump Water Heater_LF</v>
      </c>
      <c r="B202" t="s">
        <v>1165</v>
      </c>
      <c r="C202" t="s">
        <v>1167</v>
      </c>
      <c r="D202" t="s">
        <v>44</v>
      </c>
      <c r="E202" s="562" t="s">
        <v>248</v>
      </c>
      <c r="F202" s="563">
        <v>0.22</v>
      </c>
      <c r="G202" s="559" t="s">
        <v>1289</v>
      </c>
      <c r="H202" s="559" t="s">
        <v>1281</v>
      </c>
      <c r="I202" s="559" t="s">
        <v>1282</v>
      </c>
      <c r="J202" s="559" t="b">
        <f t="shared" si="3"/>
        <v>0</v>
      </c>
    </row>
    <row r="203" spans="1:10">
      <c r="A203" s="559" t="str">
        <f t="shared" si="2"/>
        <v>Residential_Hot Water_Heat Pump Water Heater_0.27</v>
      </c>
      <c r="B203" t="s">
        <v>1165</v>
      </c>
      <c r="C203" t="s">
        <v>1167</v>
      </c>
      <c r="D203" t="s">
        <v>44</v>
      </c>
      <c r="E203" s="577">
        <v>0.27</v>
      </c>
      <c r="F203" s="563">
        <v>0.27</v>
      </c>
      <c r="H203" s="559" t="s">
        <v>1281</v>
      </c>
      <c r="I203" s="559" t="s">
        <v>1282</v>
      </c>
      <c r="J203" s="559" t="b">
        <f t="shared" si="3"/>
        <v>0</v>
      </c>
    </row>
    <row r="204" spans="1:10">
      <c r="A204" s="559" t="str">
        <f t="shared" si="2"/>
        <v>Residential_Hot Water_Heat Pump Water Heater_COPCOOL</v>
      </c>
      <c r="B204" t="s">
        <v>1165</v>
      </c>
      <c r="C204" t="s">
        <v>1167</v>
      </c>
      <c r="D204" t="s">
        <v>44</v>
      </c>
      <c r="E204" s="562" t="s">
        <v>1290</v>
      </c>
      <c r="F204" s="578">
        <v>3.3</v>
      </c>
      <c r="G204" s="559" t="s">
        <v>1291</v>
      </c>
      <c r="H204" s="559" t="s">
        <v>1281</v>
      </c>
      <c r="I204" s="559" t="s">
        <v>1282</v>
      </c>
      <c r="J204" s="559" t="b">
        <f t="shared" si="3"/>
        <v>0</v>
      </c>
    </row>
    <row r="205" spans="1:10">
      <c r="A205" s="559" t="str">
        <f t="shared" si="2"/>
        <v>Residential_Hot Water_Heat Pump Water Heater_LM</v>
      </c>
      <c r="B205" t="s">
        <v>1165</v>
      </c>
      <c r="C205" t="s">
        <v>1167</v>
      </c>
      <c r="D205" t="s">
        <v>44</v>
      </c>
      <c r="E205" s="562" t="s">
        <v>1292</v>
      </c>
      <c r="F205" s="563">
        <v>1.33</v>
      </c>
      <c r="H205" s="559" t="s">
        <v>1281</v>
      </c>
      <c r="I205" s="559" t="s">
        <v>1282</v>
      </c>
      <c r="J205" s="559" t="b">
        <f t="shared" si="3"/>
        <v>0</v>
      </c>
    </row>
    <row r="206" spans="1:10">
      <c r="A206" s="559" t="str">
        <f t="shared" si="2"/>
        <v>Residential_Hot Water_Heat Pump Water Heater_kWh_cooling</v>
      </c>
      <c r="B206" t="s">
        <v>1165</v>
      </c>
      <c r="C206" t="s">
        <v>1167</v>
      </c>
      <c r="D206" t="s">
        <v>44</v>
      </c>
      <c r="E206" s="560" t="s">
        <v>1293</v>
      </c>
      <c r="F206" s="561" t="e">
        <f>(((((F195 * F196 * F197 * F198 * (F199 - F200) * 1) / F201) - ((1/ F194 * F195 * F196 * F197 * F198 * (F199 - F200) * 1) / F201)) * F202 * F203) / F204) * F205</f>
        <v>#DIV/0!</v>
      </c>
      <c r="H206" s="559" t="s">
        <v>1281</v>
      </c>
      <c r="I206" s="559" t="s">
        <v>1282</v>
      </c>
      <c r="J206" s="559" t="b">
        <f t="shared" si="3"/>
        <v>1</v>
      </c>
    </row>
    <row r="207" spans="1:10">
      <c r="A207" s="559" t="str">
        <f t="shared" si="2"/>
        <v>Residential_Hot Water_Heat Pump Water Heater_0.05</v>
      </c>
      <c r="B207" t="s">
        <v>1165</v>
      </c>
      <c r="C207" t="s">
        <v>1167</v>
      </c>
      <c r="D207" t="s">
        <v>44</v>
      </c>
      <c r="E207" s="577">
        <v>0.05</v>
      </c>
      <c r="F207" s="563">
        <v>0.05</v>
      </c>
      <c r="H207" s="559" t="s">
        <v>1281</v>
      </c>
      <c r="I207" s="559" t="s">
        <v>1282</v>
      </c>
      <c r="J207" s="559" t="b">
        <f t="shared" si="3"/>
        <v>0</v>
      </c>
    </row>
    <row r="208" spans="1:10">
      <c r="A208" s="559" t="str">
        <f t="shared" si="2"/>
        <v>Residential_Hot Water_Heat Pump Water Heater_COPHEAT</v>
      </c>
      <c r="B208" t="s">
        <v>1165</v>
      </c>
      <c r="C208" t="s">
        <v>1167</v>
      </c>
      <c r="D208" t="s">
        <v>44</v>
      </c>
      <c r="E208" s="560" t="s">
        <v>1294</v>
      </c>
      <c r="F208" s="579">
        <f>(7/3.412)*0.85</f>
        <v>1.7438452520515826</v>
      </c>
      <c r="H208" s="559" t="s">
        <v>1281</v>
      </c>
      <c r="I208" s="559" t="s">
        <v>1282</v>
      </c>
      <c r="J208" s="559" t="b">
        <f t="shared" si="3"/>
        <v>1</v>
      </c>
    </row>
    <row r="209" spans="1:10">
      <c r="A209" s="559" t="str">
        <f t="shared" ref="A209:A311" si="6">B209&amp;"_"&amp;C209&amp;"_"&amp;D209&amp;"_"&amp;E209</f>
        <v>Residential_Hot Water_Heat Pump Water Heater_%NaturalGas</v>
      </c>
      <c r="B209" t="s">
        <v>1165</v>
      </c>
      <c r="C209" t="s">
        <v>1167</v>
      </c>
      <c r="D209" t="s">
        <v>44</v>
      </c>
      <c r="E209" s="562" t="s">
        <v>1295</v>
      </c>
      <c r="F209" s="563">
        <v>0</v>
      </c>
      <c r="H209" s="559" t="s">
        <v>1281</v>
      </c>
      <c r="I209" s="559" t="s">
        <v>1282</v>
      </c>
      <c r="J209" s="559" t="b">
        <f t="shared" si="3"/>
        <v>0</v>
      </c>
    </row>
    <row r="210" spans="1:10">
      <c r="A210" s="559" t="str">
        <f t="shared" si="6"/>
        <v>Residential_Hot Water_Heat Pump Water Heater_kWh_heating</v>
      </c>
      <c r="B210" t="s">
        <v>1165</v>
      </c>
      <c r="C210" t="s">
        <v>1167</v>
      </c>
      <c r="D210" t="s">
        <v>44</v>
      </c>
      <c r="E210" s="560" t="s">
        <v>1296</v>
      </c>
      <c r="F210" s="564" t="e">
        <f xml:space="preserve"> (((((F195 * F196 * F197 * F198 * (F199 - F200) * 1) / F201) - ((1/ F194 * F195 * F196 * F197 * F198 * (F199 - F200) * 1) / F201)) * F202 * F207) / F208) * (1 - F209)</f>
        <v>#DIV/0!</v>
      </c>
      <c r="H210" s="559" t="s">
        <v>1281</v>
      </c>
      <c r="I210" s="559" t="s">
        <v>1282</v>
      </c>
      <c r="J210" s="559" t="b">
        <f t="shared" si="3"/>
        <v>1</v>
      </c>
    </row>
    <row r="211" spans="1:10">
      <c r="A211" s="559" t="str">
        <f t="shared" si="6"/>
        <v>Residential_Hot Water_Heat Pump Water Heater_Deh_Reduction</v>
      </c>
      <c r="B211" t="s">
        <v>1165</v>
      </c>
      <c r="C211" t="s">
        <v>1167</v>
      </c>
      <c r="D211" t="s">
        <v>44</v>
      </c>
      <c r="E211" s="562" t="s">
        <v>1297</v>
      </c>
      <c r="F211" s="563">
        <v>72</v>
      </c>
      <c r="G211" s="559" t="s">
        <v>1291</v>
      </c>
      <c r="H211" s="559" t="s">
        <v>1281</v>
      </c>
      <c r="I211" s="559" t="s">
        <v>1282</v>
      </c>
      <c r="J211" s="559" t="b">
        <f t="shared" si="3"/>
        <v>0</v>
      </c>
    </row>
    <row r="212" spans="1:10">
      <c r="A212" s="559" t="str">
        <f t="shared" si="6"/>
        <v>Residential_Hot Water_Heat Pump Water Heater_Delta_kWh</v>
      </c>
      <c r="B212" t="s">
        <v>1165</v>
      </c>
      <c r="C212" t="s">
        <v>1167</v>
      </c>
      <c r="D212" t="s">
        <v>44</v>
      </c>
      <c r="E212" s="560" t="s">
        <v>1298</v>
      </c>
      <c r="F212" s="561" t="e">
        <f xml:space="preserve"> (((0 - 1/ F194 ) * F195 * F196 * F197 * F198 * ( F199 - F200 ) * 1) / F201 ) + F206 - F210 + F211</f>
        <v>#DIV/0!</v>
      </c>
      <c r="G212" s="559" t="s">
        <v>1488</v>
      </c>
      <c r="H212" s="559" t="s">
        <v>1281</v>
      </c>
      <c r="I212" s="559" t="s">
        <v>1282</v>
      </c>
      <c r="J212" s="559" t="b">
        <f t="shared" si="3"/>
        <v>1</v>
      </c>
    </row>
    <row r="213" spans="1:10">
      <c r="A213" s="559" t="str">
        <f t="shared" si="6"/>
        <v>Residential_Hot Water_Heat Pump Water Heater_Hours</v>
      </c>
      <c r="B213" t="s">
        <v>1165</v>
      </c>
      <c r="C213" t="s">
        <v>1167</v>
      </c>
      <c r="D213" t="s">
        <v>44</v>
      </c>
      <c r="E213" s="562" t="s">
        <v>1299</v>
      </c>
      <c r="F213" s="563">
        <v>2533</v>
      </c>
      <c r="G213" s="559">
        <f>0.6483-(0.0017*'WH Bill Analysis'!AE9)</f>
        <v>0.64829999999999999</v>
      </c>
      <c r="H213" s="559" t="s">
        <v>1281</v>
      </c>
      <c r="I213" s="559" t="s">
        <v>1282</v>
      </c>
      <c r="J213" s="559" t="b">
        <f t="shared" si="3"/>
        <v>0</v>
      </c>
    </row>
    <row r="214" spans="1:10">
      <c r="A214" s="559" t="str">
        <f t="shared" si="6"/>
        <v>Residential_Hot Water_Heat Pump Water Heater_CF</v>
      </c>
      <c r="B214" t="s">
        <v>1165</v>
      </c>
      <c r="C214" t="s">
        <v>1167</v>
      </c>
      <c r="D214" t="s">
        <v>44</v>
      </c>
      <c r="E214" s="562" t="s">
        <v>1224</v>
      </c>
      <c r="F214" s="563">
        <v>0.12</v>
      </c>
      <c r="G214" s="559">
        <f>0.7897-(0.0004*'WH Bill Analysis'!AE9)</f>
        <v>0.78969999999999996</v>
      </c>
      <c r="H214" s="559" t="s">
        <v>1281</v>
      </c>
      <c r="I214" s="559" t="s">
        <v>1282</v>
      </c>
      <c r="J214" s="559" t="b">
        <f t="shared" ref="J214:J321" si="7">_xlfn.ISFORMULA(F214)</f>
        <v>0</v>
      </c>
    </row>
    <row r="215" spans="1:10">
      <c r="A215" s="559" t="str">
        <f t="shared" si="6"/>
        <v>Residential_Hot Water_Heat Pump Water Heater_Delta_kW</v>
      </c>
      <c r="B215" t="s">
        <v>1165</v>
      </c>
      <c r="C215" t="s">
        <v>1167</v>
      </c>
      <c r="D215" t="s">
        <v>44</v>
      </c>
      <c r="E215" s="560" t="s">
        <v>1226</v>
      </c>
      <c r="F215" s="561" t="e">
        <f xml:space="preserve"> F212 / F213 * F214</f>
        <v>#DIV/0!</v>
      </c>
      <c r="H215" s="559" t="s">
        <v>1281</v>
      </c>
      <c r="I215" s="559" t="s">
        <v>1282</v>
      </c>
      <c r="J215" s="559" t="b">
        <f t="shared" si="7"/>
        <v>1</v>
      </c>
    </row>
    <row r="216" spans="1:10">
      <c r="A216" s="559" t="str">
        <f t="shared" si="6"/>
        <v>Residential_Hot Water_Heat Pump Water Heater_UEFBASE</v>
      </c>
      <c r="B216" t="s">
        <v>1165</v>
      </c>
      <c r="C216" t="s">
        <v>1167</v>
      </c>
      <c r="D216" t="s">
        <v>44</v>
      </c>
      <c r="E216" s="562" t="s">
        <v>1279</v>
      </c>
      <c r="F216" s="565">
        <f>IF('WH Bill Analysis'!AE9&lt;=55,Algorithms_FS!G213,Algorithms_FS!G214)</f>
        <v>0.64829999999999999</v>
      </c>
      <c r="G216" s="559" t="s">
        <v>1300</v>
      </c>
      <c r="H216" s="559" t="s">
        <v>1281</v>
      </c>
      <c r="I216" s="559" t="s">
        <v>1282</v>
      </c>
      <c r="J216" s="559" t="b">
        <f t="shared" si="7"/>
        <v>1</v>
      </c>
    </row>
    <row r="217" spans="1:10">
      <c r="A217" s="559" t="str">
        <f t="shared" si="6"/>
        <v>Residential_Hot Water_Heat Pump Water Heater_UEFEFFICIENT</v>
      </c>
      <c r="B217" t="s">
        <v>1165</v>
      </c>
      <c r="C217" t="s">
        <v>1167</v>
      </c>
      <c r="D217" t="s">
        <v>44</v>
      </c>
      <c r="E217" s="562" t="s">
        <v>1283</v>
      </c>
      <c r="F217" s="565">
        <v>0.64</v>
      </c>
      <c r="G217" s="559" t="s">
        <v>1300</v>
      </c>
      <c r="H217" s="559" t="s">
        <v>1281</v>
      </c>
      <c r="I217" s="559" t="s">
        <v>1282</v>
      </c>
      <c r="J217" s="559" t="b">
        <f t="shared" si="7"/>
        <v>0</v>
      </c>
    </row>
    <row r="218" spans="1:10">
      <c r="A218" s="559" t="str">
        <f t="shared" si="6"/>
        <v>Residential_Hot Water_Heat Pump Water Heater_GPD</v>
      </c>
      <c r="B218" t="s">
        <v>1165</v>
      </c>
      <c r="C218" t="s">
        <v>1167</v>
      </c>
      <c r="D218" t="s">
        <v>44</v>
      </c>
      <c r="E218" s="562" t="s">
        <v>1272</v>
      </c>
      <c r="F218" s="565">
        <v>17.600000000000001</v>
      </c>
      <c r="H218" s="559" t="s">
        <v>1281</v>
      </c>
      <c r="I218" s="559" t="s">
        <v>1282</v>
      </c>
      <c r="J218" s="559" t="b">
        <f t="shared" si="7"/>
        <v>0</v>
      </c>
    </row>
    <row r="219" spans="1:10">
      <c r="A219" s="559" t="str">
        <f t="shared" si="6"/>
        <v>Residential_Hot Water_Heat Pump Water Heater_Household</v>
      </c>
      <c r="B219" t="s">
        <v>1165</v>
      </c>
      <c r="C219" t="s">
        <v>1167</v>
      </c>
      <c r="D219" t="s">
        <v>44</v>
      </c>
      <c r="E219" s="562" t="s">
        <v>1273</v>
      </c>
      <c r="F219" s="565">
        <v>2.56</v>
      </c>
      <c r="G219" s="559" t="s">
        <v>1285</v>
      </c>
      <c r="H219" s="559" t="s">
        <v>1281</v>
      </c>
      <c r="I219" s="559" t="s">
        <v>1282</v>
      </c>
      <c r="J219" s="559" t="b">
        <f t="shared" si="7"/>
        <v>0</v>
      </c>
    </row>
    <row r="220" spans="1:10">
      <c r="A220" s="559" t="str">
        <f t="shared" si="6"/>
        <v>Residential_Hot Water_Heat Pump Water Heater_365.25</v>
      </c>
      <c r="B220" t="s">
        <v>1165</v>
      </c>
      <c r="C220" t="s">
        <v>1167</v>
      </c>
      <c r="D220" t="s">
        <v>44</v>
      </c>
      <c r="E220" s="562">
        <v>365.25</v>
      </c>
      <c r="F220" s="565">
        <v>365.25</v>
      </c>
      <c r="H220" s="559" t="s">
        <v>1281</v>
      </c>
      <c r="I220" s="559" t="s">
        <v>1282</v>
      </c>
      <c r="J220" s="559" t="b">
        <f t="shared" si="7"/>
        <v>0</v>
      </c>
    </row>
    <row r="221" spans="1:10">
      <c r="A221" s="559" t="str">
        <f t="shared" si="6"/>
        <v>Residential_Hot Water_Heat Pump Water Heater_γWater</v>
      </c>
      <c r="B221" t="s">
        <v>1165</v>
      </c>
      <c r="C221" t="s">
        <v>1167</v>
      </c>
      <c r="D221" t="s">
        <v>44</v>
      </c>
      <c r="E221" s="562" t="s">
        <v>1286</v>
      </c>
      <c r="F221" s="565">
        <v>8.33</v>
      </c>
      <c r="H221" s="559" t="s">
        <v>1281</v>
      </c>
      <c r="I221" s="559" t="s">
        <v>1282</v>
      </c>
      <c r="J221" s="559" t="b">
        <f t="shared" si="7"/>
        <v>0</v>
      </c>
    </row>
    <row r="222" spans="1:10">
      <c r="A222" s="559" t="str">
        <f t="shared" si="6"/>
        <v>Residential_Hot Water_Heat Pump Water Heater_TOUT</v>
      </c>
      <c r="B222" t="s">
        <v>1165</v>
      </c>
      <c r="C222" t="s">
        <v>1167</v>
      </c>
      <c r="D222" t="s">
        <v>44</v>
      </c>
      <c r="E222" s="562" t="s">
        <v>1287</v>
      </c>
      <c r="F222" s="565">
        <v>125</v>
      </c>
      <c r="H222" s="559" t="s">
        <v>1281</v>
      </c>
      <c r="I222" s="559" t="s">
        <v>1282</v>
      </c>
      <c r="J222" s="559" t="b">
        <f t="shared" si="7"/>
        <v>0</v>
      </c>
    </row>
    <row r="223" spans="1:10">
      <c r="A223" s="559" t="str">
        <f t="shared" si="6"/>
        <v>Residential_Hot Water_Heat Pump Water Heater_TIN</v>
      </c>
      <c r="B223" t="s">
        <v>1165</v>
      </c>
      <c r="C223" t="s">
        <v>1167</v>
      </c>
      <c r="D223" t="s">
        <v>44</v>
      </c>
      <c r="E223" s="562" t="s">
        <v>1288</v>
      </c>
      <c r="F223" s="565">
        <v>50.7</v>
      </c>
      <c r="H223" s="559" t="s">
        <v>1281</v>
      </c>
      <c r="I223" s="559" t="s">
        <v>1282</v>
      </c>
      <c r="J223" s="559" t="b">
        <f t="shared" si="7"/>
        <v>0</v>
      </c>
    </row>
    <row r="224" spans="1:10">
      <c r="A224" s="559" t="str">
        <f t="shared" si="6"/>
        <v>Residential_Hot Water_Heat Pump Water Heater_100000</v>
      </c>
      <c r="B224" t="s">
        <v>1165</v>
      </c>
      <c r="C224" t="s">
        <v>1167</v>
      </c>
      <c r="D224" t="s">
        <v>44</v>
      </c>
      <c r="E224" s="562">
        <v>100000</v>
      </c>
      <c r="F224" s="565">
        <v>100000</v>
      </c>
      <c r="H224" s="559" t="s">
        <v>1281</v>
      </c>
      <c r="I224" s="559" t="s">
        <v>1282</v>
      </c>
      <c r="J224" s="559" t="b">
        <f t="shared" si="7"/>
        <v>0</v>
      </c>
    </row>
    <row r="225" spans="1:10">
      <c r="A225" s="559" t="str">
        <f t="shared" si="6"/>
        <v>Residential_Hot Water_Heat Pump Water Heater_Delta_Therms</v>
      </c>
      <c r="B225" t="s">
        <v>1165</v>
      </c>
      <c r="C225" t="s">
        <v>1167</v>
      </c>
      <c r="D225" t="s">
        <v>44</v>
      </c>
      <c r="E225" s="560" t="s">
        <v>1301</v>
      </c>
      <c r="F225" s="564">
        <f xml:space="preserve"> (1/ F216 - 0 ) * ( F218 * F219 * F220 * F221 * ( F222 - F223 ) * 1)/ F224</f>
        <v>157.1088505780657</v>
      </c>
      <c r="H225" s="559" t="s">
        <v>1281</v>
      </c>
      <c r="I225" s="559" t="s">
        <v>1282</v>
      </c>
      <c r="J225" s="559" t="b">
        <f t="shared" si="7"/>
        <v>1</v>
      </c>
    </row>
    <row r="226" spans="1:10">
      <c r="A226" s="559" t="str">
        <f t="shared" si="6"/>
        <v>Residential_Hot Water_Heat Pump Water Heater_Delta_Btu</v>
      </c>
      <c r="B226" t="s">
        <v>1165</v>
      </c>
      <c r="C226" t="s">
        <v>1167</v>
      </c>
      <c r="D226" t="s">
        <v>44</v>
      </c>
      <c r="E226" s="560" t="s">
        <v>1302</v>
      </c>
      <c r="F226" s="564">
        <f>F225*100000</f>
        <v>15710885.05780657</v>
      </c>
      <c r="H226" s="559" t="s">
        <v>1281</v>
      </c>
      <c r="I226" s="559" t="s">
        <v>1282</v>
      </c>
      <c r="J226" s="559" t="b">
        <f t="shared" si="7"/>
        <v>1</v>
      </c>
    </row>
    <row r="227" spans="1:10">
      <c r="A227" s="559" t="str">
        <f t="shared" si="6"/>
        <v>Residential_Hot Water_Heat Pump Water Heater_kWh Saved per Unit</v>
      </c>
      <c r="B227" t="s">
        <v>1165</v>
      </c>
      <c r="C227" t="s">
        <v>1167</v>
      </c>
      <c r="D227" t="s">
        <v>44</v>
      </c>
      <c r="E227" s="568" t="s">
        <v>1227</v>
      </c>
      <c r="F227" s="569" t="e">
        <f>F212</f>
        <v>#DIV/0!</v>
      </c>
      <c r="H227" s="559" t="s">
        <v>1281</v>
      </c>
      <c r="I227" s="559" t="s">
        <v>1282</v>
      </c>
      <c r="J227" s="559" t="b">
        <f t="shared" si="7"/>
        <v>1</v>
      </c>
    </row>
    <row r="228" spans="1:10">
      <c r="A228" s="559" t="str">
        <f t="shared" si="6"/>
        <v>Residential_Hot Water_Heat Pump Water Heater_Coincident Peak kW Saved per Unit</v>
      </c>
      <c r="B228" t="s">
        <v>1165</v>
      </c>
      <c r="C228" t="s">
        <v>1167</v>
      </c>
      <c r="D228" t="s">
        <v>44</v>
      </c>
      <c r="E228" s="568" t="s">
        <v>1228</v>
      </c>
      <c r="F228" s="569" t="e">
        <f>F215</f>
        <v>#DIV/0!</v>
      </c>
      <c r="H228" s="559" t="s">
        <v>1281</v>
      </c>
      <c r="I228" s="559" t="s">
        <v>1282</v>
      </c>
      <c r="J228" s="559" t="b">
        <f t="shared" si="7"/>
        <v>1</v>
      </c>
    </row>
    <row r="229" spans="1:10">
      <c r="A229" s="559" t="str">
        <f t="shared" si="6"/>
        <v>Residential_Hot Water_Heat Pump Water Heater_Propane Gal Saved per Unit</v>
      </c>
      <c r="B229" t="s">
        <v>1165</v>
      </c>
      <c r="C229" t="s">
        <v>1167</v>
      </c>
      <c r="D229" t="s">
        <v>44</v>
      </c>
      <c r="E229" s="568" t="s">
        <v>1229</v>
      </c>
      <c r="F229" s="569">
        <f>F226/91333</f>
        <v>172.01761748553722</v>
      </c>
      <c r="G229" s="559" t="s">
        <v>1230</v>
      </c>
      <c r="H229" s="559" t="s">
        <v>1281</v>
      </c>
      <c r="I229" s="559" t="s">
        <v>1282</v>
      </c>
      <c r="J229" s="559" t="b">
        <f t="shared" si="7"/>
        <v>1</v>
      </c>
    </row>
    <row r="230" spans="1:10">
      <c r="A230" s="559" t="str">
        <f t="shared" si="6"/>
        <v>Residential_Hot Water_Heat Pump Water Heater_Lifetime (years)</v>
      </c>
      <c r="B230" t="s">
        <v>1165</v>
      </c>
      <c r="C230" t="s">
        <v>1167</v>
      </c>
      <c r="D230" t="s">
        <v>44</v>
      </c>
      <c r="E230" s="568" t="s">
        <v>1231</v>
      </c>
      <c r="F230" s="569">
        <v>15</v>
      </c>
      <c r="H230" s="559" t="s">
        <v>1281</v>
      </c>
      <c r="I230" s="559" t="s">
        <v>1282</v>
      </c>
      <c r="J230" s="559" t="b">
        <f t="shared" si="7"/>
        <v>0</v>
      </c>
    </row>
    <row r="231" spans="1:10">
      <c r="A231" s="559" t="str">
        <f t="shared" si="6"/>
        <v>Residential_Hot Water_Heat Pump Water Heater_Incremental Cost</v>
      </c>
      <c r="B231" t="s">
        <v>1165</v>
      </c>
      <c r="C231" t="s">
        <v>1167</v>
      </c>
      <c r="D231" t="s">
        <v>44</v>
      </c>
      <c r="E231" s="568" t="s">
        <v>1232</v>
      </c>
      <c r="F231" s="570">
        <v>2231</v>
      </c>
      <c r="H231" s="559" t="s">
        <v>1281</v>
      </c>
      <c r="I231" s="559" t="s">
        <v>1282</v>
      </c>
      <c r="J231" s="559" t="b">
        <f t="shared" si="7"/>
        <v>0</v>
      </c>
    </row>
    <row r="232" spans="1:10">
      <c r="A232" s="559" t="str">
        <f t="shared" si="6"/>
        <v>Residential_Hot Water_Heat Pump Water Heater_BTU Impact_Existing_Fossil Fuel</v>
      </c>
      <c r="B232" t="s">
        <v>1165</v>
      </c>
      <c r="C232" t="s">
        <v>1167</v>
      </c>
      <c r="D232" t="s">
        <v>44</v>
      </c>
      <c r="E232" s="568" t="s">
        <v>1234</v>
      </c>
      <c r="F232" s="569">
        <f>-F226</f>
        <v>-15710885.05780657</v>
      </c>
      <c r="H232" s="559" t="s">
        <v>1281</v>
      </c>
      <c r="I232" s="559" t="s">
        <v>1282</v>
      </c>
      <c r="J232" s="559" t="b">
        <f t="shared" si="7"/>
        <v>1</v>
      </c>
    </row>
    <row r="233" spans="1:10">
      <c r="A233" s="559" t="str">
        <f t="shared" si="6"/>
        <v>Residential_Hot Water_Heat Pump Water Heater_BTU Impact_Existing_Winter Electricity</v>
      </c>
      <c r="B233" t="s">
        <v>1165</v>
      </c>
      <c r="C233" t="s">
        <v>1167</v>
      </c>
      <c r="D233" t="s">
        <v>44</v>
      </c>
      <c r="E233" s="568" t="s">
        <v>1235</v>
      </c>
      <c r="F233" s="569">
        <v>0</v>
      </c>
      <c r="G233" s="580"/>
      <c r="H233" s="559" t="s">
        <v>1281</v>
      </c>
      <c r="I233" s="559" t="s">
        <v>1282</v>
      </c>
      <c r="J233" s="559" t="b">
        <f t="shared" si="7"/>
        <v>0</v>
      </c>
    </row>
    <row r="234" spans="1:10">
      <c r="A234" s="559" t="str">
        <f t="shared" si="6"/>
        <v>Residential_Hot Water_Heat Pump Water Heater_BTU Impact_Existing_Summer Electricity</v>
      </c>
      <c r="B234" t="s">
        <v>1165</v>
      </c>
      <c r="C234" t="s">
        <v>1167</v>
      </c>
      <c r="D234" t="s">
        <v>44</v>
      </c>
      <c r="E234" s="568" t="s">
        <v>1236</v>
      </c>
      <c r="F234" s="569">
        <v>0</v>
      </c>
      <c r="G234" s="580"/>
      <c r="H234" s="559" t="s">
        <v>1281</v>
      </c>
      <c r="I234" s="559" t="s">
        <v>1282</v>
      </c>
      <c r="J234" s="559" t="b">
        <f t="shared" si="7"/>
        <v>0</v>
      </c>
    </row>
    <row r="235" spans="1:10">
      <c r="A235" s="559" t="str">
        <f t="shared" si="6"/>
        <v>Residential_Hot Water_Heat Pump Water Heater_BTU Impact_New_Fossil Fuel</v>
      </c>
      <c r="B235" t="s">
        <v>1165</v>
      </c>
      <c r="C235" t="s">
        <v>1167</v>
      </c>
      <c r="D235" t="s">
        <v>44</v>
      </c>
      <c r="E235" s="568" t="s">
        <v>1237</v>
      </c>
      <c r="F235" s="569">
        <v>0</v>
      </c>
      <c r="H235" s="559" t="s">
        <v>1281</v>
      </c>
      <c r="I235" s="559" t="s">
        <v>1282</v>
      </c>
      <c r="J235" s="559" t="b">
        <f t="shared" si="7"/>
        <v>0</v>
      </c>
    </row>
    <row r="236" spans="1:10">
      <c r="A236" s="559" t="str">
        <f t="shared" si="6"/>
        <v>Residential_Hot Water_Heat Pump Water Heater_BTU Impact_New_Winter Electricity</v>
      </c>
      <c r="B236" t="s">
        <v>1165</v>
      </c>
      <c r="C236" t="s">
        <v>1167</v>
      </c>
      <c r="D236" t="s">
        <v>44</v>
      </c>
      <c r="E236" s="568" t="s">
        <v>1238</v>
      </c>
      <c r="F236" s="569" t="e">
        <f xml:space="preserve"> -((((0 - 1/ F194 ) * F195 * F196 * F197 * F198 * ( F199 - F200 ) * 1) / F201 )*G236 - F210)*3412</f>
        <v>#DIV/0!</v>
      </c>
      <c r="G236" s="580">
        <v>0.63900000000000001</v>
      </c>
      <c r="H236" s="559" t="s">
        <v>1281</v>
      </c>
      <c r="I236" s="559" t="s">
        <v>1282</v>
      </c>
      <c r="J236" s="559" t="b">
        <f t="shared" si="7"/>
        <v>1</v>
      </c>
    </row>
    <row r="237" spans="1:10">
      <c r="A237" s="559" t="str">
        <f t="shared" si="6"/>
        <v>Residential_Hot Water_Heat Pump Water Heater_BTU Impact_New_Summer Electricity</v>
      </c>
      <c r="B237" t="s">
        <v>1165</v>
      </c>
      <c r="C237" t="s">
        <v>1167</v>
      </c>
      <c r="D237" t="s">
        <v>44</v>
      </c>
      <c r="E237" s="568" t="s">
        <v>1239</v>
      </c>
      <c r="F237" s="569" t="e">
        <f xml:space="preserve"> -((((0 - 1/ F194 ) * F195 * F196 * F197 * F198 * ( F199 - F200 ) * 1) / F201 )*G237 + F206 + F211)*3412</f>
        <v>#DIV/0!</v>
      </c>
      <c r="G237" s="580">
        <v>0.36099999999999999</v>
      </c>
      <c r="H237" s="559" t="s">
        <v>1281</v>
      </c>
      <c r="I237" s="559" t="s">
        <v>1282</v>
      </c>
      <c r="J237" s="559" t="b">
        <f t="shared" si="7"/>
        <v>1</v>
      </c>
    </row>
    <row r="238" spans="1:10">
      <c r="A238" s="559" t="str">
        <f t="shared" si="6"/>
        <v>Residential_Hot Water_Heat Pump Water Heater_</v>
      </c>
      <c r="B238" t="s">
        <v>1165</v>
      </c>
      <c r="C238" t="s">
        <v>1167</v>
      </c>
      <c r="D238" t="s">
        <v>44</v>
      </c>
      <c r="J238" s="559" t="b">
        <f t="shared" si="7"/>
        <v>0</v>
      </c>
    </row>
    <row r="239" spans="1:10" hidden="1">
      <c r="A239" s="559" t="str">
        <f t="shared" si="6"/>
        <v>Residential_Appliances_Heat Pump Clothes Dryer_Load</v>
      </c>
      <c r="B239" t="s">
        <v>1165</v>
      </c>
      <c r="C239" t="s">
        <v>1168</v>
      </c>
      <c r="D239" t="s">
        <v>357</v>
      </c>
      <c r="E239" s="562" t="s">
        <v>1303</v>
      </c>
      <c r="F239" s="563">
        <v>8.4499999999999993</v>
      </c>
      <c r="G239" s="559" t="s">
        <v>1304</v>
      </c>
      <c r="H239" s="559" t="s">
        <v>1305</v>
      </c>
      <c r="I239" s="559" t="s">
        <v>1306</v>
      </c>
      <c r="J239" s="559" t="b">
        <f t="shared" si="7"/>
        <v>0</v>
      </c>
    </row>
    <row r="240" spans="1:10" hidden="1">
      <c r="A240" s="559" t="str">
        <f t="shared" si="6"/>
        <v>Residential_Appliances_Heat Pump Clothes Dryer_CEFbase</v>
      </c>
      <c r="B240" t="s">
        <v>1165</v>
      </c>
      <c r="C240" t="s">
        <v>1168</v>
      </c>
      <c r="D240" t="s">
        <v>357</v>
      </c>
      <c r="E240" s="562" t="s">
        <v>1307</v>
      </c>
      <c r="F240" s="563">
        <v>3.11</v>
      </c>
      <c r="G240" s="559" t="s">
        <v>1308</v>
      </c>
      <c r="H240" s="559" t="s">
        <v>1305</v>
      </c>
      <c r="I240" s="559" t="s">
        <v>1306</v>
      </c>
      <c r="J240" s="559" t="b">
        <f t="shared" si="7"/>
        <v>0</v>
      </c>
    </row>
    <row r="241" spans="1:10" hidden="1">
      <c r="A241" s="559" t="str">
        <f t="shared" si="6"/>
        <v>Residential_Appliances_Heat Pump Clothes Dryer_Load</v>
      </c>
      <c r="B241" t="s">
        <v>1165</v>
      </c>
      <c r="C241" t="s">
        <v>1168</v>
      </c>
      <c r="D241" t="s">
        <v>357</v>
      </c>
      <c r="E241" s="562" t="s">
        <v>1303</v>
      </c>
      <c r="F241" s="563">
        <v>8.4499999999999993</v>
      </c>
      <c r="G241" s="559" t="s">
        <v>1304</v>
      </c>
      <c r="H241" s="559" t="s">
        <v>1305</v>
      </c>
      <c r="I241" s="559" t="s">
        <v>1306</v>
      </c>
      <c r="J241" s="559" t="b">
        <f t="shared" si="7"/>
        <v>0</v>
      </c>
    </row>
    <row r="242" spans="1:10" hidden="1">
      <c r="A242" s="559" t="str">
        <f t="shared" si="6"/>
        <v>Residential_Appliances_Heat Pump Clothes Dryer_CEFeff</v>
      </c>
      <c r="B242" t="s">
        <v>1165</v>
      </c>
      <c r="C242" t="s">
        <v>1168</v>
      </c>
      <c r="D242" t="s">
        <v>357</v>
      </c>
      <c r="E242" s="562" t="s">
        <v>1309</v>
      </c>
      <c r="F242" s="563">
        <v>3.93</v>
      </c>
      <c r="G242" s="559" t="s">
        <v>1310</v>
      </c>
      <c r="H242" s="559" t="s">
        <v>1305</v>
      </c>
      <c r="I242" s="559" t="s">
        <v>1306</v>
      </c>
      <c r="J242" s="559" t="b">
        <f t="shared" si="7"/>
        <v>0</v>
      </c>
    </row>
    <row r="243" spans="1:10" hidden="1">
      <c r="A243" s="559" t="str">
        <f t="shared" si="6"/>
        <v>Residential_Appliances_Heat Pump Clothes Dryer_Ncycles</v>
      </c>
      <c r="B243" t="s">
        <v>1165</v>
      </c>
      <c r="C243" t="s">
        <v>1168</v>
      </c>
      <c r="D243" t="s">
        <v>357</v>
      </c>
      <c r="E243" s="562" t="s">
        <v>1311</v>
      </c>
      <c r="F243" s="563">
        <v>283</v>
      </c>
      <c r="H243" s="559" t="s">
        <v>1305</v>
      </c>
      <c r="I243" s="559" t="s">
        <v>1306</v>
      </c>
      <c r="J243" s="559" t="b">
        <f t="shared" si="7"/>
        <v>0</v>
      </c>
    </row>
    <row r="244" spans="1:10" hidden="1">
      <c r="A244" s="559" t="str">
        <f t="shared" si="6"/>
        <v>Residential_Appliances_Heat Pump Clothes Dryer_%Electric</v>
      </c>
      <c r="B244" t="s">
        <v>1165</v>
      </c>
      <c r="C244" t="s">
        <v>1168</v>
      </c>
      <c r="D244" t="s">
        <v>357</v>
      </c>
      <c r="E244" s="562" t="s">
        <v>1312</v>
      </c>
      <c r="F244" s="563">
        <v>1</v>
      </c>
      <c r="G244" s="559" t="s">
        <v>1313</v>
      </c>
      <c r="H244" s="559" t="s">
        <v>1305</v>
      </c>
      <c r="I244" s="559" t="s">
        <v>1306</v>
      </c>
      <c r="J244" s="559" t="b">
        <f t="shared" si="7"/>
        <v>0</v>
      </c>
    </row>
    <row r="245" spans="1:10" hidden="1">
      <c r="A245" s="559" t="str">
        <f t="shared" si="6"/>
        <v>Residential_Appliances_Heat Pump Clothes Dryer_ΔkWh</v>
      </c>
      <c r="B245" t="s">
        <v>1165</v>
      </c>
      <c r="C245" t="s">
        <v>1168</v>
      </c>
      <c r="D245" t="s">
        <v>357</v>
      </c>
      <c r="E245" s="560" t="s">
        <v>1314</v>
      </c>
      <c r="F245" s="561">
        <f xml:space="preserve"> ( 0 - F241 / F242 ) * F243 * F244</f>
        <v>-608.48600508905849</v>
      </c>
      <c r="H245" s="559" t="s">
        <v>1305</v>
      </c>
      <c r="I245" s="559" t="s">
        <v>1306</v>
      </c>
      <c r="J245" s="559" t="b">
        <f t="shared" si="7"/>
        <v>1</v>
      </c>
    </row>
    <row r="246" spans="1:10" hidden="1">
      <c r="A246" s="559" t="str">
        <f t="shared" si="6"/>
        <v>Residential_Appliances_Heat Pump Clothes Dryer_Hours</v>
      </c>
      <c r="B246" t="s">
        <v>1165</v>
      </c>
      <c r="C246" t="s">
        <v>1168</v>
      </c>
      <c r="D246" t="s">
        <v>357</v>
      </c>
      <c r="E246" s="562" t="s">
        <v>1299</v>
      </c>
      <c r="F246" s="563">
        <v>283</v>
      </c>
      <c r="H246" s="559" t="s">
        <v>1305</v>
      </c>
      <c r="I246" s="559" t="s">
        <v>1306</v>
      </c>
      <c r="J246" s="559" t="b">
        <f t="shared" si="7"/>
        <v>0</v>
      </c>
    </row>
    <row r="247" spans="1:10" hidden="1">
      <c r="A247" s="559" t="str">
        <f t="shared" si="6"/>
        <v>Residential_Appliances_Heat Pump Clothes Dryer_CF</v>
      </c>
      <c r="B247" t="s">
        <v>1165</v>
      </c>
      <c r="C247" t="s">
        <v>1168</v>
      </c>
      <c r="D247" t="s">
        <v>357</v>
      </c>
      <c r="E247" s="562" t="s">
        <v>1224</v>
      </c>
      <c r="F247" s="563">
        <v>3.7999999999999999E-2</v>
      </c>
      <c r="H247" s="559" t="s">
        <v>1305</v>
      </c>
      <c r="I247" s="559" t="s">
        <v>1306</v>
      </c>
      <c r="J247" s="559" t="b">
        <f t="shared" si="7"/>
        <v>0</v>
      </c>
    </row>
    <row r="248" spans="1:10" hidden="1">
      <c r="A248" s="559" t="str">
        <f t="shared" si="6"/>
        <v>Residential_Appliances_Heat Pump Clothes Dryer_ΔkW</v>
      </c>
      <c r="B248" t="s">
        <v>1165</v>
      </c>
      <c r="C248" t="s">
        <v>1168</v>
      </c>
      <c r="D248" t="s">
        <v>357</v>
      </c>
      <c r="E248" s="560" t="s">
        <v>1315</v>
      </c>
      <c r="F248" s="561">
        <f xml:space="preserve"> F245 / F246 * F247</f>
        <v>-8.1704834605597951E-2</v>
      </c>
      <c r="H248" s="559" t="s">
        <v>1305</v>
      </c>
      <c r="I248" s="559" t="s">
        <v>1306</v>
      </c>
      <c r="J248" s="559" t="b">
        <f t="shared" si="7"/>
        <v>1</v>
      </c>
    </row>
    <row r="249" spans="1:10" hidden="1">
      <c r="A249" s="559" t="str">
        <f t="shared" si="6"/>
        <v>Residential_Appliances_Heat Pump Clothes Dryer_Load</v>
      </c>
      <c r="B249" t="s">
        <v>1165</v>
      </c>
      <c r="C249" t="s">
        <v>1168</v>
      </c>
      <c r="D249" t="s">
        <v>357</v>
      </c>
      <c r="E249" s="562" t="s">
        <v>1303</v>
      </c>
      <c r="F249" s="563">
        <v>8.4499999999999993</v>
      </c>
      <c r="G249" s="559" t="s">
        <v>1304</v>
      </c>
      <c r="H249" s="559" t="s">
        <v>1305</v>
      </c>
      <c r="I249" s="559" t="s">
        <v>1306</v>
      </c>
      <c r="J249" s="559" t="b">
        <f t="shared" si="7"/>
        <v>0</v>
      </c>
    </row>
    <row r="250" spans="1:10" hidden="1">
      <c r="A250" s="559" t="str">
        <f t="shared" si="6"/>
        <v>Residential_Appliances_Heat Pump Clothes Dryer_EFbase</v>
      </c>
      <c r="B250" t="s">
        <v>1165</v>
      </c>
      <c r="C250" t="s">
        <v>1168</v>
      </c>
      <c r="D250" t="s">
        <v>357</v>
      </c>
      <c r="E250" s="562" t="s">
        <v>1316</v>
      </c>
      <c r="F250" s="563">
        <v>2.84</v>
      </c>
      <c r="G250" s="559" t="s">
        <v>1317</v>
      </c>
      <c r="H250" s="559" t="s">
        <v>1305</v>
      </c>
      <c r="I250" s="559" t="s">
        <v>1306</v>
      </c>
      <c r="J250" s="559" t="b">
        <f t="shared" si="7"/>
        <v>0</v>
      </c>
    </row>
    <row r="251" spans="1:10" hidden="1">
      <c r="A251" s="559" t="str">
        <f t="shared" si="6"/>
        <v>Residential_Appliances_Heat Pump Clothes Dryer_IQAdj</v>
      </c>
      <c r="B251" t="s">
        <v>1165</v>
      </c>
      <c r="C251" t="s">
        <v>1168</v>
      </c>
      <c r="D251" t="s">
        <v>357</v>
      </c>
      <c r="E251" s="562" t="s">
        <v>1318</v>
      </c>
      <c r="F251" s="578">
        <f>IF([18]Dashboard_FS!$K$19="Yes",1.033,1)</f>
        <v>1.0329999999999999</v>
      </c>
      <c r="H251" s="559" t="s">
        <v>1305</v>
      </c>
      <c r="I251" s="559" t="s">
        <v>1306</v>
      </c>
      <c r="J251" s="559" t="b">
        <f t="shared" si="7"/>
        <v>1</v>
      </c>
    </row>
    <row r="252" spans="1:10" hidden="1">
      <c r="A252" s="559" t="str">
        <f t="shared" si="6"/>
        <v>Residential_Appliances_Heat Pump Clothes Dryer_Load</v>
      </c>
      <c r="B252" t="s">
        <v>1165</v>
      </c>
      <c r="C252" t="s">
        <v>1168</v>
      </c>
      <c r="D252" t="s">
        <v>357</v>
      </c>
      <c r="E252" s="562" t="s">
        <v>1303</v>
      </c>
      <c r="F252" s="563">
        <v>8.4499999999999993</v>
      </c>
      <c r="G252" s="559" t="s">
        <v>1304</v>
      </c>
      <c r="H252" s="559" t="s">
        <v>1305</v>
      </c>
      <c r="I252" s="559" t="s">
        <v>1306</v>
      </c>
      <c r="J252" s="559" t="b">
        <f t="shared" si="7"/>
        <v>0</v>
      </c>
    </row>
    <row r="253" spans="1:10" hidden="1">
      <c r="A253" s="559" t="str">
        <f t="shared" si="6"/>
        <v>Residential_Appliances_Heat Pump Clothes Dryer_CEFeff</v>
      </c>
      <c r="B253" t="s">
        <v>1165</v>
      </c>
      <c r="C253" t="s">
        <v>1168</v>
      </c>
      <c r="D253" t="s">
        <v>357</v>
      </c>
      <c r="E253" s="562" t="s">
        <v>1309</v>
      </c>
      <c r="F253" s="563">
        <v>3.48</v>
      </c>
      <c r="G253" s="559" t="s">
        <v>1317</v>
      </c>
      <c r="H253" s="559" t="s">
        <v>1305</v>
      </c>
      <c r="I253" s="559" t="s">
        <v>1306</v>
      </c>
      <c r="J253" s="559" t="b">
        <f t="shared" si="7"/>
        <v>0</v>
      </c>
    </row>
    <row r="254" spans="1:10" hidden="1">
      <c r="A254" s="559" t="str">
        <f t="shared" si="6"/>
        <v>Residential_Appliances_Heat Pump Clothes Dryer_Ncycles</v>
      </c>
      <c r="B254" t="s">
        <v>1165</v>
      </c>
      <c r="C254" t="s">
        <v>1168</v>
      </c>
      <c r="D254" t="s">
        <v>357</v>
      </c>
      <c r="E254" s="562" t="s">
        <v>1311</v>
      </c>
      <c r="F254" s="563">
        <v>283</v>
      </c>
      <c r="H254" s="559" t="s">
        <v>1305</v>
      </c>
      <c r="I254" s="559" t="s">
        <v>1306</v>
      </c>
      <c r="J254" s="559" t="b">
        <f t="shared" si="7"/>
        <v>0</v>
      </c>
    </row>
    <row r="255" spans="1:10" hidden="1">
      <c r="A255" s="559" t="str">
        <f t="shared" si="6"/>
        <v>Residential_Appliances_Heat Pump Clothes Dryer_Therm_convert</v>
      </c>
      <c r="B255" t="s">
        <v>1165</v>
      </c>
      <c r="C255" t="s">
        <v>1168</v>
      </c>
      <c r="D255" t="s">
        <v>357</v>
      </c>
      <c r="E255" s="562" t="s">
        <v>1319</v>
      </c>
      <c r="F255" s="563">
        <v>3.4119999999999998E-2</v>
      </c>
      <c r="H255" s="559" t="s">
        <v>1305</v>
      </c>
      <c r="I255" s="559" t="s">
        <v>1306</v>
      </c>
      <c r="J255" s="559" t="b">
        <f t="shared" si="7"/>
        <v>0</v>
      </c>
    </row>
    <row r="256" spans="1:10" hidden="1">
      <c r="A256" s="559" t="str">
        <f t="shared" si="6"/>
        <v>Residential_Appliances_Heat Pump Clothes Dryer_%Gas</v>
      </c>
      <c r="B256" t="s">
        <v>1165</v>
      </c>
      <c r="C256" t="s">
        <v>1168</v>
      </c>
      <c r="D256" t="s">
        <v>357</v>
      </c>
      <c r="E256" s="562" t="s">
        <v>1320</v>
      </c>
      <c r="F256" s="563">
        <v>1</v>
      </c>
      <c r="G256" s="559" t="s">
        <v>1321</v>
      </c>
      <c r="H256" s="559" t="s">
        <v>1305</v>
      </c>
      <c r="I256" s="559" t="s">
        <v>1306</v>
      </c>
      <c r="J256" s="559" t="b">
        <f t="shared" si="7"/>
        <v>0</v>
      </c>
    </row>
    <row r="257" spans="1:10" hidden="1">
      <c r="A257" s="559" t="str">
        <f t="shared" si="6"/>
        <v>Residential_Appliances_Heat Pump Clothes Dryer_Δtherm</v>
      </c>
      <c r="B257" t="s">
        <v>1165</v>
      </c>
      <c r="C257" t="s">
        <v>1168</v>
      </c>
      <c r="D257" t="s">
        <v>357</v>
      </c>
      <c r="E257" s="560" t="s">
        <v>1322</v>
      </c>
      <c r="F257" s="561">
        <f xml:space="preserve"> ( F249 / F250 * F251 - 0) * F254 * F255 * F256</f>
        <v>29.677967058450697</v>
      </c>
      <c r="H257" s="559" t="s">
        <v>1305</v>
      </c>
      <c r="I257" s="559" t="s">
        <v>1306</v>
      </c>
      <c r="J257" s="559" t="b">
        <f t="shared" si="7"/>
        <v>1</v>
      </c>
    </row>
    <row r="258" spans="1:10" hidden="1">
      <c r="A258" s="559" t="str">
        <f t="shared" si="6"/>
        <v>Residential_Appliances_Heat Pump Clothes Dryer_kWh Saved per Unit</v>
      </c>
      <c r="B258" t="s">
        <v>1165</v>
      </c>
      <c r="C258" t="s">
        <v>1168</v>
      </c>
      <c r="D258" t="s">
        <v>357</v>
      </c>
      <c r="E258" s="568" t="s">
        <v>1227</v>
      </c>
      <c r="F258" s="569">
        <f>F245</f>
        <v>-608.48600508905849</v>
      </c>
      <c r="H258" s="559" t="s">
        <v>1305</v>
      </c>
      <c r="I258" s="559" t="s">
        <v>1306</v>
      </c>
      <c r="J258" s="559" t="b">
        <f t="shared" si="7"/>
        <v>1</v>
      </c>
    </row>
    <row r="259" spans="1:10" hidden="1">
      <c r="A259" s="559" t="str">
        <f t="shared" si="6"/>
        <v>Residential_Appliances_Heat Pump Clothes Dryer_Coincident Peak kW Saved per Unit</v>
      </c>
      <c r="B259" t="s">
        <v>1165</v>
      </c>
      <c r="C259" t="s">
        <v>1168</v>
      </c>
      <c r="D259" t="s">
        <v>357</v>
      </c>
      <c r="E259" s="568" t="s">
        <v>1228</v>
      </c>
      <c r="F259" s="569">
        <f>F248</f>
        <v>-8.1704834605597951E-2</v>
      </c>
      <c r="H259" s="559" t="s">
        <v>1305</v>
      </c>
      <c r="I259" s="559" t="s">
        <v>1306</v>
      </c>
      <c r="J259" s="559" t="b">
        <f t="shared" si="7"/>
        <v>1</v>
      </c>
    </row>
    <row r="260" spans="1:10" hidden="1">
      <c r="A260" s="559" t="str">
        <f t="shared" si="6"/>
        <v>Residential_Appliances_Heat Pump Clothes Dryer_Therms Saved per Unit</v>
      </c>
      <c r="B260" t="s">
        <v>1165</v>
      </c>
      <c r="C260" t="s">
        <v>1168</v>
      </c>
      <c r="D260" t="s">
        <v>357</v>
      </c>
      <c r="E260" s="568" t="s">
        <v>1323</v>
      </c>
      <c r="F260" s="569">
        <f>F257</f>
        <v>29.677967058450697</v>
      </c>
      <c r="H260" s="559" t="s">
        <v>1305</v>
      </c>
      <c r="I260" s="559" t="s">
        <v>1306</v>
      </c>
      <c r="J260" s="559" t="b">
        <f t="shared" si="7"/>
        <v>1</v>
      </c>
    </row>
    <row r="261" spans="1:10" hidden="1">
      <c r="A261" s="559" t="str">
        <f t="shared" si="6"/>
        <v>Residential_Appliances_Heat Pump Clothes Dryer_Lifetime (years)</v>
      </c>
      <c r="B261" t="s">
        <v>1165</v>
      </c>
      <c r="C261" t="s">
        <v>1168</v>
      </c>
      <c r="D261" t="s">
        <v>357</v>
      </c>
      <c r="E261" s="568" t="s">
        <v>1231</v>
      </c>
      <c r="F261" s="569">
        <v>16</v>
      </c>
      <c r="H261" s="559" t="s">
        <v>1305</v>
      </c>
      <c r="I261" s="559" t="s">
        <v>1306</v>
      </c>
      <c r="J261" s="559" t="b">
        <f t="shared" si="7"/>
        <v>0</v>
      </c>
    </row>
    <row r="262" spans="1:10" hidden="1">
      <c r="A262" s="559" t="str">
        <f t="shared" si="6"/>
        <v>Residential_Appliances_Heat Pump Clothes Dryer_Incremental Cost</v>
      </c>
      <c r="B262" t="s">
        <v>1165</v>
      </c>
      <c r="C262" t="s">
        <v>1168</v>
      </c>
      <c r="D262" t="s">
        <v>357</v>
      </c>
      <c r="E262" s="568" t="s">
        <v>1232</v>
      </c>
      <c r="F262" s="581">
        <f>IF([18]Dashboard_FS!$K$19="Yes",246,152)</f>
        <v>246</v>
      </c>
      <c r="G262" s="559" t="s">
        <v>1324</v>
      </c>
      <c r="H262" s="559" t="s">
        <v>1305</v>
      </c>
      <c r="I262" s="559" t="s">
        <v>1306</v>
      </c>
      <c r="J262" s="559" t="b">
        <f t="shared" si="7"/>
        <v>1</v>
      </c>
    </row>
    <row r="263" spans="1:10" hidden="1">
      <c r="A263" s="559" t="str">
        <f t="shared" si="6"/>
        <v>Residential_Appliances_Heat Pump Clothes Dryer_BTU Impact_Existing_Fossil Fuel</v>
      </c>
      <c r="B263" t="s">
        <v>1165</v>
      </c>
      <c r="C263" t="s">
        <v>1168</v>
      </c>
      <c r="D263" t="s">
        <v>357</v>
      </c>
      <c r="E263" s="568" t="s">
        <v>1234</v>
      </c>
      <c r="F263" s="569">
        <f>-F257*100000</f>
        <v>-2967796.7058450696</v>
      </c>
      <c r="H263" s="559" t="s">
        <v>1305</v>
      </c>
      <c r="I263" s="559" t="s">
        <v>1306</v>
      </c>
      <c r="J263" s="559" t="b">
        <f t="shared" si="7"/>
        <v>1</v>
      </c>
    </row>
    <row r="264" spans="1:10" hidden="1">
      <c r="A264" s="559" t="str">
        <f t="shared" si="6"/>
        <v>Residential_Appliances_Heat Pump Clothes Dryer_BTU Impact_Existing_Winter Electricity</v>
      </c>
      <c r="B264" t="s">
        <v>1165</v>
      </c>
      <c r="C264" t="s">
        <v>1168</v>
      </c>
      <c r="D264" t="s">
        <v>357</v>
      </c>
      <c r="E264" s="568" t="s">
        <v>1235</v>
      </c>
      <c r="F264" s="569">
        <f xml:space="preserve"> (( 0 - F249 / F250 ) * F254 * F251 * 3412)*(8/12)</f>
        <v>-1978531.1372300466</v>
      </c>
      <c r="G264" s="559" t="s">
        <v>1325</v>
      </c>
      <c r="H264" s="559" t="s">
        <v>1305</v>
      </c>
      <c r="I264" s="559" t="s">
        <v>1306</v>
      </c>
      <c r="J264" s="559" t="b">
        <f t="shared" si="7"/>
        <v>1</v>
      </c>
    </row>
    <row r="265" spans="1:10" hidden="1">
      <c r="A265" s="559" t="str">
        <f t="shared" si="6"/>
        <v>Residential_Appliances_Heat Pump Clothes Dryer_BTU Impact_Existing_Summer Electricity</v>
      </c>
      <c r="B265" t="s">
        <v>1165</v>
      </c>
      <c r="C265" t="s">
        <v>1168</v>
      </c>
      <c r="D265" t="s">
        <v>357</v>
      </c>
      <c r="E265" s="568" t="s">
        <v>1236</v>
      </c>
      <c r="F265" s="569">
        <f xml:space="preserve"> (( 0 - F249 / F250 ) * F254 * F251 * 3412)*(4/12)</f>
        <v>-989265.56861502328</v>
      </c>
      <c r="G265" s="559" t="s">
        <v>1325</v>
      </c>
      <c r="H265" s="559" t="s">
        <v>1305</v>
      </c>
      <c r="I265" s="559" t="s">
        <v>1306</v>
      </c>
      <c r="J265" s="559" t="b">
        <f t="shared" si="7"/>
        <v>1</v>
      </c>
    </row>
    <row r="266" spans="1:10" hidden="1">
      <c r="A266" s="559" t="str">
        <f t="shared" si="6"/>
        <v>Residential_Appliances_Heat Pump Clothes Dryer_BTU Impact_New_Fossil Fuel</v>
      </c>
      <c r="B266" t="s">
        <v>1165</v>
      </c>
      <c r="C266" t="s">
        <v>1168</v>
      </c>
      <c r="D266" t="s">
        <v>357</v>
      </c>
      <c r="E266" s="568" t="s">
        <v>1237</v>
      </c>
      <c r="F266" s="569">
        <v>0</v>
      </c>
      <c r="H266" s="559" t="s">
        <v>1305</v>
      </c>
      <c r="I266" s="559" t="s">
        <v>1306</v>
      </c>
      <c r="J266" s="559" t="b">
        <f t="shared" si="7"/>
        <v>0</v>
      </c>
    </row>
    <row r="267" spans="1:10" hidden="1">
      <c r="A267" s="559" t="str">
        <f t="shared" si="6"/>
        <v>Residential_Appliances_Heat Pump Clothes Dryer_BTU Impact_New_Winter Electricity</v>
      </c>
      <c r="B267" t="s">
        <v>1165</v>
      </c>
      <c r="C267" t="s">
        <v>1168</v>
      </c>
      <c r="D267" t="s">
        <v>357</v>
      </c>
      <c r="E267" s="568" t="s">
        <v>1238</v>
      </c>
      <c r="F267" s="569">
        <f>-F258*3412*(8/12)</f>
        <v>1384102.832909245</v>
      </c>
      <c r="H267" s="559" t="s">
        <v>1305</v>
      </c>
      <c r="I267" s="559" t="s">
        <v>1306</v>
      </c>
      <c r="J267" s="559" t="b">
        <f t="shared" si="7"/>
        <v>1</v>
      </c>
    </row>
    <row r="268" spans="1:10" hidden="1">
      <c r="A268" s="559" t="str">
        <f t="shared" si="6"/>
        <v>Residential_Appliances_Heat Pump Clothes Dryer_BTU Impact_New_Summer Electricity</v>
      </c>
      <c r="B268" t="s">
        <v>1165</v>
      </c>
      <c r="C268" t="s">
        <v>1168</v>
      </c>
      <c r="D268" t="s">
        <v>357</v>
      </c>
      <c r="E268" s="568" t="s">
        <v>1239</v>
      </c>
      <c r="F268" s="569">
        <f>-F258*3412*(4/12)</f>
        <v>692051.41645462252</v>
      </c>
      <c r="H268" s="559" t="s">
        <v>1305</v>
      </c>
      <c r="I268" s="559" t="s">
        <v>1306</v>
      </c>
      <c r="J268" s="559" t="b">
        <f t="shared" si="7"/>
        <v>1</v>
      </c>
    </row>
    <row r="269" spans="1:10" hidden="1">
      <c r="A269" s="559" t="str">
        <f t="shared" si="6"/>
        <v>Residential_Appliances_Heat Pump Clothes Dryer_</v>
      </c>
      <c r="B269" t="s">
        <v>1165</v>
      </c>
      <c r="C269" t="s">
        <v>1168</v>
      </c>
      <c r="D269" t="s">
        <v>357</v>
      </c>
      <c r="H269" s="559" t="s">
        <v>1305</v>
      </c>
      <c r="I269" s="559" t="s">
        <v>1306</v>
      </c>
      <c r="J269" s="559" t="b">
        <f t="shared" si="7"/>
        <v>0</v>
      </c>
    </row>
    <row r="270" spans="1:10" hidden="1">
      <c r="A270" s="559" t="str">
        <f t="shared" si="6"/>
        <v>Residential_Appliances_Electric Range_Cooktop AEC_basegas</v>
      </c>
      <c r="B270" t="s">
        <v>1165</v>
      </c>
      <c r="C270" t="s">
        <v>1168</v>
      </c>
      <c r="D270" t="s">
        <v>1326</v>
      </c>
      <c r="E270" s="562" t="s">
        <v>1327</v>
      </c>
      <c r="F270" s="563">
        <v>12.7</v>
      </c>
      <c r="G270" s="559" t="s">
        <v>1207</v>
      </c>
      <c r="H270" s="559" t="s">
        <v>1328</v>
      </c>
      <c r="I270" s="559" t="s">
        <v>1329</v>
      </c>
      <c r="J270" s="559" t="b">
        <f t="shared" si="7"/>
        <v>0</v>
      </c>
    </row>
    <row r="271" spans="1:10" hidden="1">
      <c r="A271" s="559" t="str">
        <f t="shared" si="6"/>
        <v>Residential_Appliances_Electric Range_Oven AEC_basegas</v>
      </c>
      <c r="B271" t="s">
        <v>1165</v>
      </c>
      <c r="C271" t="s">
        <v>1168</v>
      </c>
      <c r="D271" t="s">
        <v>1326</v>
      </c>
      <c r="E271" s="562" t="s">
        <v>1330</v>
      </c>
      <c r="F271" s="563">
        <v>8.6</v>
      </c>
      <c r="G271" s="559" t="s">
        <v>1207</v>
      </c>
      <c r="H271" s="559" t="s">
        <v>1328</v>
      </c>
      <c r="I271" s="559" t="s">
        <v>1329</v>
      </c>
      <c r="J271" s="559" t="b">
        <f t="shared" si="7"/>
        <v>0</v>
      </c>
    </row>
    <row r="272" spans="1:10" hidden="1">
      <c r="A272" s="559" t="str">
        <f t="shared" si="6"/>
        <v>Residential_Appliances_Electric Range_AEC_basegas</v>
      </c>
      <c r="B272" t="s">
        <v>1165</v>
      </c>
      <c r="C272" t="s">
        <v>1168</v>
      </c>
      <c r="D272" t="s">
        <v>1326</v>
      </c>
      <c r="E272" s="562" t="s">
        <v>1331</v>
      </c>
      <c r="F272" s="563">
        <f>F270+F271</f>
        <v>21.299999999999997</v>
      </c>
      <c r="H272" s="559" t="s">
        <v>1328</v>
      </c>
      <c r="I272" s="559" t="s">
        <v>1329</v>
      </c>
      <c r="J272" s="559" t="b">
        <f t="shared" si="7"/>
        <v>1</v>
      </c>
    </row>
    <row r="273" spans="1:10" hidden="1">
      <c r="A273" s="559" t="str">
        <f t="shared" si="6"/>
        <v>Residential_Appliances_Electric Range_10</v>
      </c>
      <c r="B273" t="s">
        <v>1165</v>
      </c>
      <c r="C273" t="s">
        <v>1168</v>
      </c>
      <c r="D273" t="s">
        <v>1326</v>
      </c>
      <c r="E273" s="562">
        <v>10</v>
      </c>
      <c r="F273" s="576">
        <v>10</v>
      </c>
      <c r="H273" s="559" t="s">
        <v>1328</v>
      </c>
      <c r="I273" s="559" t="s">
        <v>1329</v>
      </c>
      <c r="J273" s="559" t="b">
        <f t="shared" si="7"/>
        <v>0</v>
      </c>
    </row>
    <row r="274" spans="1:10" hidden="1">
      <c r="A274" s="559" t="str">
        <f t="shared" si="6"/>
        <v>Residential_Appliances_Electric Range_Gas Consumption Replaced</v>
      </c>
      <c r="B274" t="s">
        <v>1165</v>
      </c>
      <c r="C274" t="s">
        <v>1168</v>
      </c>
      <c r="D274" t="s">
        <v>1326</v>
      </c>
      <c r="E274" s="560" t="s">
        <v>1332</v>
      </c>
      <c r="F274" s="561">
        <f>F272/F273</f>
        <v>2.13</v>
      </c>
      <c r="H274" s="559" t="s">
        <v>1328</v>
      </c>
      <c r="I274" s="559" t="s">
        <v>1329</v>
      </c>
      <c r="J274" s="559" t="b">
        <f t="shared" si="7"/>
        <v>1</v>
      </c>
    </row>
    <row r="275" spans="1:10" hidden="1">
      <c r="A275" s="559" t="str">
        <f t="shared" si="6"/>
        <v>Residential_Appliances_Electric Range_Cooktop IAEC_ee</v>
      </c>
      <c r="B275" t="s">
        <v>1165</v>
      </c>
      <c r="C275" t="s">
        <v>1168</v>
      </c>
      <c r="D275" t="s">
        <v>1326</v>
      </c>
      <c r="E275" s="562" t="s">
        <v>1333</v>
      </c>
      <c r="F275" s="563">
        <v>111</v>
      </c>
      <c r="G275" s="559" t="s">
        <v>1207</v>
      </c>
      <c r="H275" s="559" t="s">
        <v>1328</v>
      </c>
      <c r="I275" s="559" t="s">
        <v>1329</v>
      </c>
      <c r="J275" s="559" t="b">
        <f t="shared" si="7"/>
        <v>0</v>
      </c>
    </row>
    <row r="276" spans="1:10" hidden="1">
      <c r="A276" s="559" t="str">
        <f t="shared" si="6"/>
        <v>Residential_Appliances_Electric Range_Oven IAEC_ee</v>
      </c>
      <c r="B276" t="s">
        <v>1165</v>
      </c>
      <c r="C276" t="s">
        <v>1168</v>
      </c>
      <c r="D276" t="s">
        <v>1326</v>
      </c>
      <c r="E276" s="562" t="s">
        <v>1334</v>
      </c>
      <c r="F276" s="563">
        <v>171.6</v>
      </c>
      <c r="G276" s="559" t="s">
        <v>1335</v>
      </c>
      <c r="H276" s="559" t="s">
        <v>1328</v>
      </c>
      <c r="I276" s="559" t="s">
        <v>1329</v>
      </c>
      <c r="J276" s="559" t="b">
        <f t="shared" si="7"/>
        <v>0</v>
      </c>
    </row>
    <row r="277" spans="1:10" hidden="1">
      <c r="A277" s="559" t="str">
        <f t="shared" si="6"/>
        <v>Residential_Appliances_Electric Range_IAEC_ee</v>
      </c>
      <c r="B277" t="s">
        <v>1165</v>
      </c>
      <c r="C277" t="s">
        <v>1168</v>
      </c>
      <c r="D277" t="s">
        <v>1326</v>
      </c>
      <c r="E277" s="562" t="s">
        <v>1336</v>
      </c>
      <c r="F277" s="563">
        <f>F275+F276</f>
        <v>282.60000000000002</v>
      </c>
      <c r="H277" s="559" t="s">
        <v>1328</v>
      </c>
      <c r="I277" s="559" t="s">
        <v>1329</v>
      </c>
      <c r="J277" s="559" t="b">
        <f t="shared" si="7"/>
        <v>1</v>
      </c>
    </row>
    <row r="278" spans="1:10" hidden="1">
      <c r="A278" s="559" t="str">
        <f t="shared" si="6"/>
        <v>Residential_Appliances_Electric Range_3412</v>
      </c>
      <c r="B278" t="s">
        <v>1165</v>
      </c>
      <c r="C278" t="s">
        <v>1168</v>
      </c>
      <c r="D278" t="s">
        <v>1326</v>
      </c>
      <c r="E278" s="562">
        <v>3412</v>
      </c>
      <c r="F278" s="576">
        <v>3412</v>
      </c>
      <c r="H278" s="559" t="s">
        <v>1328</v>
      </c>
      <c r="I278" s="559" t="s">
        <v>1329</v>
      </c>
      <c r="J278" s="559" t="b">
        <f t="shared" si="7"/>
        <v>0</v>
      </c>
    </row>
    <row r="279" spans="1:10" hidden="1">
      <c r="A279" s="559" t="str">
        <f t="shared" si="6"/>
        <v>Residential_Appliances_Electric Range_1000000</v>
      </c>
      <c r="B279" t="s">
        <v>1165</v>
      </c>
      <c r="C279" t="s">
        <v>1168</v>
      </c>
      <c r="D279" t="s">
        <v>1326</v>
      </c>
      <c r="E279" s="562">
        <v>1000000</v>
      </c>
      <c r="F279" s="576">
        <v>1000000</v>
      </c>
      <c r="H279" s="559" t="s">
        <v>1328</v>
      </c>
      <c r="I279" s="559" t="s">
        <v>1329</v>
      </c>
      <c r="J279" s="559" t="b">
        <f t="shared" si="7"/>
        <v>0</v>
      </c>
    </row>
    <row r="280" spans="1:10" hidden="1">
      <c r="A280" s="559" t="str">
        <f t="shared" si="6"/>
        <v>Residential_Appliances_Electric Range_Electric Consumption Added</v>
      </c>
      <c r="B280" t="s">
        <v>1165</v>
      </c>
      <c r="C280" t="s">
        <v>1168</v>
      </c>
      <c r="D280" t="s">
        <v>1326</v>
      </c>
      <c r="E280" s="560" t="s">
        <v>1337</v>
      </c>
      <c r="F280" s="561">
        <f>F277 * F278 / F279</f>
        <v>0.96423120000000007</v>
      </c>
      <c r="H280" s="559" t="s">
        <v>1328</v>
      </c>
      <c r="I280" s="559" t="s">
        <v>1329</v>
      </c>
      <c r="J280" s="559" t="b">
        <f t="shared" si="7"/>
        <v>1</v>
      </c>
    </row>
    <row r="281" spans="1:10" hidden="1">
      <c r="A281" s="559" t="str">
        <f t="shared" si="6"/>
        <v>Residential_Appliances_Electric Range_Eff_ee</v>
      </c>
      <c r="B281" t="s">
        <v>1165</v>
      </c>
      <c r="C281" t="s">
        <v>1168</v>
      </c>
      <c r="D281" t="s">
        <v>1326</v>
      </c>
      <c r="E281" s="562" t="s">
        <v>1338</v>
      </c>
      <c r="F281" s="563">
        <v>0.85</v>
      </c>
      <c r="G281" s="559" t="s">
        <v>1207</v>
      </c>
      <c r="H281" s="559" t="s">
        <v>1328</v>
      </c>
      <c r="I281" s="559" t="s">
        <v>1329</v>
      </c>
      <c r="J281" s="559" t="b">
        <f t="shared" si="7"/>
        <v>0</v>
      </c>
    </row>
    <row r="282" spans="1:10" hidden="1">
      <c r="A282" s="559" t="str">
        <f t="shared" si="6"/>
        <v>Residential_Appliances_Electric Range_Eff_base</v>
      </c>
      <c r="B282" t="s">
        <v>1165</v>
      </c>
      <c r="C282" t="s">
        <v>1168</v>
      </c>
      <c r="D282" t="s">
        <v>1326</v>
      </c>
      <c r="E282" s="562" t="s">
        <v>1339</v>
      </c>
      <c r="F282" s="563">
        <v>0.77</v>
      </c>
      <c r="G282" s="559" t="s">
        <v>1207</v>
      </c>
      <c r="H282" s="559" t="s">
        <v>1328</v>
      </c>
      <c r="I282" s="559" t="s">
        <v>1329</v>
      </c>
      <c r="J282" s="559" t="b">
        <f t="shared" si="7"/>
        <v>0</v>
      </c>
    </row>
    <row r="283" spans="1:10" hidden="1">
      <c r="A283" s="559" t="str">
        <f t="shared" si="6"/>
        <v>Residential_Appliances_Electric Range_Cooktop AEC_base</v>
      </c>
      <c r="B283" t="s">
        <v>1165</v>
      </c>
      <c r="C283" t="s">
        <v>1168</v>
      </c>
      <c r="D283" t="s">
        <v>1326</v>
      </c>
      <c r="E283" s="562" t="s">
        <v>1340</v>
      </c>
      <c r="F283" s="563">
        <f>F275 * (F281 / F282)</f>
        <v>122.53246753246754</v>
      </c>
      <c r="H283" s="559" t="s">
        <v>1328</v>
      </c>
      <c r="I283" s="559" t="s">
        <v>1329</v>
      </c>
      <c r="J283" s="559" t="b">
        <f t="shared" si="7"/>
        <v>1</v>
      </c>
    </row>
    <row r="284" spans="1:10" hidden="1">
      <c r="A284" s="559" t="str">
        <f t="shared" si="6"/>
        <v>Residential_Appliances_Electric Range_AEC_baseelectric</v>
      </c>
      <c r="B284" t="s">
        <v>1165</v>
      </c>
      <c r="C284" t="s">
        <v>1168</v>
      </c>
      <c r="D284" t="s">
        <v>1326</v>
      </c>
      <c r="E284" s="562" t="s">
        <v>1341</v>
      </c>
      <c r="F284" s="563">
        <v>54.3</v>
      </c>
      <c r="G284" s="559" t="s">
        <v>1335</v>
      </c>
      <c r="H284" s="559" t="s">
        <v>1328</v>
      </c>
      <c r="I284" s="559" t="s">
        <v>1329</v>
      </c>
      <c r="J284" s="559" t="b">
        <f t="shared" si="7"/>
        <v>0</v>
      </c>
    </row>
    <row r="285" spans="1:10" hidden="1">
      <c r="A285" s="559" t="str">
        <f t="shared" si="6"/>
        <v>Residential_Appliances_Electric Range_3412</v>
      </c>
      <c r="B285" t="s">
        <v>1165</v>
      </c>
      <c r="C285" t="s">
        <v>1168</v>
      </c>
      <c r="D285" t="s">
        <v>1326</v>
      </c>
      <c r="E285" s="562">
        <v>3412</v>
      </c>
      <c r="F285" s="576">
        <v>3412</v>
      </c>
      <c r="H285" s="559" t="s">
        <v>1328</v>
      </c>
      <c r="I285" s="559" t="s">
        <v>1329</v>
      </c>
      <c r="J285" s="559" t="b">
        <f t="shared" si="7"/>
        <v>0</v>
      </c>
    </row>
    <row r="286" spans="1:10" hidden="1">
      <c r="A286" s="559" t="str">
        <f t="shared" si="6"/>
        <v>Residential_Appliances_Electric Range_1000000</v>
      </c>
      <c r="B286" t="s">
        <v>1165</v>
      </c>
      <c r="C286" t="s">
        <v>1168</v>
      </c>
      <c r="D286" t="s">
        <v>1326</v>
      </c>
      <c r="E286" s="562">
        <v>1000000</v>
      </c>
      <c r="F286" s="576">
        <v>1000000</v>
      </c>
      <c r="H286" s="559" t="s">
        <v>1328</v>
      </c>
      <c r="I286" s="559" t="s">
        <v>1329</v>
      </c>
      <c r="J286" s="559" t="b">
        <f t="shared" si="7"/>
        <v>0</v>
      </c>
    </row>
    <row r="287" spans="1:10" hidden="1">
      <c r="A287" s="559" t="str">
        <f t="shared" si="6"/>
        <v>Residential_Appliances_Electric Range_Electric Consumption Replaced</v>
      </c>
      <c r="B287" t="s">
        <v>1165</v>
      </c>
      <c r="C287" t="s">
        <v>1168</v>
      </c>
      <c r="D287" t="s">
        <v>1326</v>
      </c>
      <c r="E287" s="560" t="s">
        <v>1342</v>
      </c>
      <c r="F287" s="561">
        <f>F284 * F285 / F286</f>
        <v>0.18527159999999998</v>
      </c>
      <c r="H287" s="559" t="s">
        <v>1328</v>
      </c>
      <c r="I287" s="559" t="s">
        <v>1329</v>
      </c>
      <c r="J287" s="559" t="b">
        <f t="shared" si="7"/>
        <v>1</v>
      </c>
    </row>
    <row r="288" spans="1:10" hidden="1">
      <c r="A288" s="559" t="str">
        <f t="shared" si="6"/>
        <v>Residential_Appliances_Electric Range_Cooking Savings</v>
      </c>
      <c r="B288" t="s">
        <v>1165</v>
      </c>
      <c r="C288" t="s">
        <v>1168</v>
      </c>
      <c r="D288" t="s">
        <v>1326</v>
      </c>
      <c r="E288" s="560" t="s">
        <v>1343</v>
      </c>
      <c r="F288" s="561">
        <f>(F274 - F280) + F287</f>
        <v>1.3510404</v>
      </c>
      <c r="H288" s="559" t="s">
        <v>1328</v>
      </c>
      <c r="I288" s="559" t="s">
        <v>1329</v>
      </c>
      <c r="J288" s="559" t="b">
        <f t="shared" si="7"/>
        <v>1</v>
      </c>
    </row>
    <row r="289" spans="1:10" hidden="1">
      <c r="A289" s="559" t="str">
        <f t="shared" si="6"/>
        <v>Residential_Appliances_Electric Range_%Cool</v>
      </c>
      <c r="B289" t="s">
        <v>1165</v>
      </c>
      <c r="C289" t="s">
        <v>1168</v>
      </c>
      <c r="D289" t="s">
        <v>1326</v>
      </c>
      <c r="E289" s="562" t="s">
        <v>1344</v>
      </c>
      <c r="F289" s="563" t="e">
        <f>IF([18]Dashboard_FS!$K$16="Yes",1,0)</f>
        <v>#REF!</v>
      </c>
      <c r="H289" s="559" t="s">
        <v>1328</v>
      </c>
      <c r="I289" s="559" t="s">
        <v>1329</v>
      </c>
      <c r="J289" s="559" t="b">
        <f t="shared" si="7"/>
        <v>1</v>
      </c>
    </row>
    <row r="290" spans="1:10" hidden="1">
      <c r="A290" s="559" t="str">
        <f t="shared" si="6"/>
        <v>Residential_Appliances_Electric Range_HCF_cool</v>
      </c>
      <c r="B290" t="s">
        <v>1165</v>
      </c>
      <c r="C290" t="s">
        <v>1168</v>
      </c>
      <c r="D290" t="s">
        <v>1326</v>
      </c>
      <c r="E290" s="562" t="s">
        <v>1345</v>
      </c>
      <c r="F290" s="563">
        <v>0.21</v>
      </c>
      <c r="H290" s="559" t="s">
        <v>1328</v>
      </c>
      <c r="I290" s="559" t="s">
        <v>1329</v>
      </c>
      <c r="J290" s="559" t="b">
        <f t="shared" si="7"/>
        <v>0</v>
      </c>
    </row>
    <row r="291" spans="1:10" hidden="1">
      <c r="A291" s="559" t="str">
        <f t="shared" si="6"/>
        <v>Residential_Appliances_Electric Range_Vent Factor</v>
      </c>
      <c r="B291" t="s">
        <v>1165</v>
      </c>
      <c r="C291" t="s">
        <v>1168</v>
      </c>
      <c r="D291" t="s">
        <v>1326</v>
      </c>
      <c r="E291" s="562" t="s">
        <v>1346</v>
      </c>
      <c r="F291" s="563">
        <v>0.5</v>
      </c>
      <c r="H291" s="559" t="s">
        <v>1328</v>
      </c>
      <c r="I291" s="559" t="s">
        <v>1329</v>
      </c>
      <c r="J291" s="559" t="b">
        <f t="shared" si="7"/>
        <v>0</v>
      </c>
    </row>
    <row r="292" spans="1:10" hidden="1">
      <c r="A292" s="559" t="str">
        <f t="shared" si="6"/>
        <v>Residential_Appliances_Electric Range_COP_cool</v>
      </c>
      <c r="B292" t="s">
        <v>1165</v>
      </c>
      <c r="C292" t="s">
        <v>1168</v>
      </c>
      <c r="D292" t="s">
        <v>1326</v>
      </c>
      <c r="E292" s="562" t="s">
        <v>1347</v>
      </c>
      <c r="F292" s="563">
        <v>3.3</v>
      </c>
      <c r="G292" s="559" t="s">
        <v>1207</v>
      </c>
      <c r="H292" s="559" t="s">
        <v>1328</v>
      </c>
      <c r="I292" s="559" t="s">
        <v>1329</v>
      </c>
      <c r="J292" s="559" t="b">
        <f t="shared" si="7"/>
        <v>0</v>
      </c>
    </row>
    <row r="293" spans="1:10" hidden="1">
      <c r="A293" s="559" t="str">
        <f t="shared" si="6"/>
        <v>Residential_Appliances_Electric Range_Cooling Impact</v>
      </c>
      <c r="B293" t="s">
        <v>1165</v>
      </c>
      <c r="C293" t="s">
        <v>1168</v>
      </c>
      <c r="D293" t="s">
        <v>1326</v>
      </c>
      <c r="E293" s="560" t="s">
        <v>1348</v>
      </c>
      <c r="F293" s="561" t="e">
        <f>F288 * F289 * F290 * F291 / F292</f>
        <v>#REF!</v>
      </c>
      <c r="H293" s="559" t="s">
        <v>1328</v>
      </c>
      <c r="I293" s="559" t="s">
        <v>1329</v>
      </c>
      <c r="J293" s="559" t="b">
        <f t="shared" si="7"/>
        <v>1</v>
      </c>
    </row>
    <row r="294" spans="1:10" hidden="1">
      <c r="A294" s="559" t="str">
        <f t="shared" si="6"/>
        <v>Residential_Appliances_Electric Range_%ElectricHeat</v>
      </c>
      <c r="B294" t="s">
        <v>1165</v>
      </c>
      <c r="C294" t="s">
        <v>1168</v>
      </c>
      <c r="D294" t="s">
        <v>1326</v>
      </c>
      <c r="E294" s="562" t="s">
        <v>1349</v>
      </c>
      <c r="F294" s="563">
        <v>0.24</v>
      </c>
      <c r="G294" s="559" t="s">
        <v>1350</v>
      </c>
      <c r="H294" s="559" t="s">
        <v>1328</v>
      </c>
      <c r="I294" s="559" t="s">
        <v>1329</v>
      </c>
      <c r="J294" s="559" t="b">
        <f t="shared" si="7"/>
        <v>0</v>
      </c>
    </row>
    <row r="295" spans="1:10" hidden="1">
      <c r="A295" s="559" t="str">
        <f t="shared" si="6"/>
        <v>Residential_Appliances_Electric Range_HCF_heat</v>
      </c>
      <c r="B295" t="s">
        <v>1165</v>
      </c>
      <c r="C295" t="s">
        <v>1168</v>
      </c>
      <c r="D295" t="s">
        <v>1326</v>
      </c>
      <c r="E295" s="562" t="s">
        <v>1351</v>
      </c>
      <c r="F295" s="563">
        <v>0.34799999999999998</v>
      </c>
      <c r="H295" s="559" t="s">
        <v>1328</v>
      </c>
      <c r="I295" s="559" t="s">
        <v>1329</v>
      </c>
      <c r="J295" s="559" t="b">
        <f t="shared" si="7"/>
        <v>0</v>
      </c>
    </row>
    <row r="296" spans="1:10" hidden="1">
      <c r="A296" s="559" t="str">
        <f t="shared" si="6"/>
        <v>Residential_Appliances_Electric Range_Vent Factor</v>
      </c>
      <c r="B296" t="s">
        <v>1165</v>
      </c>
      <c r="C296" t="s">
        <v>1168</v>
      </c>
      <c r="D296" t="s">
        <v>1326</v>
      </c>
      <c r="E296" s="562" t="s">
        <v>1346</v>
      </c>
      <c r="F296" s="563">
        <v>0.5</v>
      </c>
      <c r="H296" s="559" t="s">
        <v>1328</v>
      </c>
      <c r="I296" s="559" t="s">
        <v>1329</v>
      </c>
      <c r="J296" s="559" t="b">
        <f t="shared" si="7"/>
        <v>0</v>
      </c>
    </row>
    <row r="297" spans="1:10" hidden="1">
      <c r="A297" s="559" t="str">
        <f t="shared" si="6"/>
        <v>Residential_Appliances_Electric Range_COP_heat</v>
      </c>
      <c r="B297" t="s">
        <v>1165</v>
      </c>
      <c r="C297" t="s">
        <v>1168</v>
      </c>
      <c r="D297" t="s">
        <v>1326</v>
      </c>
      <c r="E297" s="562" t="s">
        <v>1352</v>
      </c>
      <c r="F297" s="563">
        <v>1.3</v>
      </c>
      <c r="G297" s="559" t="s">
        <v>1207</v>
      </c>
      <c r="H297" s="559" t="s">
        <v>1328</v>
      </c>
      <c r="I297" s="559" t="s">
        <v>1329</v>
      </c>
      <c r="J297" s="559" t="b">
        <f t="shared" si="7"/>
        <v>0</v>
      </c>
    </row>
    <row r="298" spans="1:10" hidden="1">
      <c r="A298" s="559" t="str">
        <f t="shared" si="6"/>
        <v>Residential_Appliances_Electric Range_ElecHeat Impact</v>
      </c>
      <c r="B298" t="s">
        <v>1165</v>
      </c>
      <c r="C298" t="s">
        <v>1168</v>
      </c>
      <c r="D298" t="s">
        <v>1326</v>
      </c>
      <c r="E298" s="560" t="s">
        <v>1353</v>
      </c>
      <c r="F298" s="561">
        <f>F288 * F294 * F295 * F296 / F297</f>
        <v>4.3399574695384607E-2</v>
      </c>
      <c r="H298" s="559" t="s">
        <v>1328</v>
      </c>
      <c r="I298" s="559" t="s">
        <v>1329</v>
      </c>
      <c r="J298" s="559" t="b">
        <f t="shared" si="7"/>
        <v>1</v>
      </c>
    </row>
    <row r="299" spans="1:10" hidden="1">
      <c r="A299" s="559" t="str">
        <f t="shared" si="6"/>
        <v>Residential_Appliances_Electric Range_%FossilFuelHeat</v>
      </c>
      <c r="B299" t="s">
        <v>1165</v>
      </c>
      <c r="C299" t="s">
        <v>1168</v>
      </c>
      <c r="D299" t="s">
        <v>1326</v>
      </c>
      <c r="E299" s="562" t="s">
        <v>1354</v>
      </c>
      <c r="F299" s="563">
        <v>0.76</v>
      </c>
      <c r="G299" s="559" t="s">
        <v>1207</v>
      </c>
      <c r="H299" s="559" t="s">
        <v>1328</v>
      </c>
      <c r="I299" s="559" t="s">
        <v>1329</v>
      </c>
      <c r="J299" s="559" t="b">
        <f t="shared" si="7"/>
        <v>0</v>
      </c>
    </row>
    <row r="300" spans="1:10" hidden="1">
      <c r="A300" s="559" t="str">
        <f t="shared" si="6"/>
        <v>Residential_Appliances_Electric Range_HCF_heat</v>
      </c>
      <c r="B300" t="s">
        <v>1165</v>
      </c>
      <c r="C300" t="s">
        <v>1168</v>
      </c>
      <c r="D300" t="s">
        <v>1326</v>
      </c>
      <c r="E300" s="562" t="s">
        <v>1351</v>
      </c>
      <c r="F300" s="563">
        <v>0.21</v>
      </c>
      <c r="H300" s="559" t="s">
        <v>1328</v>
      </c>
      <c r="I300" s="559" t="s">
        <v>1329</v>
      </c>
      <c r="J300" s="559" t="b">
        <f t="shared" si="7"/>
        <v>0</v>
      </c>
    </row>
    <row r="301" spans="1:10" hidden="1">
      <c r="A301" s="559" t="str">
        <f t="shared" si="6"/>
        <v>Residential_Appliances_Electric Range_Vent Factor</v>
      </c>
      <c r="B301" t="s">
        <v>1165</v>
      </c>
      <c r="C301" t="s">
        <v>1168</v>
      </c>
      <c r="D301" t="s">
        <v>1326</v>
      </c>
      <c r="E301" s="562" t="s">
        <v>1346</v>
      </c>
      <c r="F301" s="563">
        <v>0.5</v>
      </c>
      <c r="H301" s="559" t="s">
        <v>1328</v>
      </c>
      <c r="I301" s="559" t="s">
        <v>1329</v>
      </c>
      <c r="J301" s="559" t="b">
        <f t="shared" si="7"/>
        <v>0</v>
      </c>
    </row>
    <row r="302" spans="1:10" hidden="1">
      <c r="A302" s="559" t="str">
        <f t="shared" si="6"/>
        <v>Residential_Appliances_Electric Range_nHeat</v>
      </c>
      <c r="B302" t="s">
        <v>1165</v>
      </c>
      <c r="C302" t="s">
        <v>1168</v>
      </c>
      <c r="D302" t="s">
        <v>1326</v>
      </c>
      <c r="E302" s="562" t="s">
        <v>1355</v>
      </c>
      <c r="F302" s="563">
        <v>0.7</v>
      </c>
      <c r="H302" s="559" t="s">
        <v>1328</v>
      </c>
      <c r="I302" s="559" t="s">
        <v>1329</v>
      </c>
      <c r="J302" s="559" t="b">
        <f t="shared" si="7"/>
        <v>0</v>
      </c>
    </row>
    <row r="303" spans="1:10" hidden="1">
      <c r="A303" s="559" t="str">
        <f t="shared" si="6"/>
        <v>Residential_Appliances_Electric Range_Fossil Fuel Heat Impact</v>
      </c>
      <c r="B303" t="s">
        <v>1165</v>
      </c>
      <c r="C303" t="s">
        <v>1168</v>
      </c>
      <c r="D303" t="s">
        <v>1326</v>
      </c>
      <c r="E303" s="560" t="s">
        <v>1356</v>
      </c>
      <c r="F303" s="561">
        <f>F288 * F299 * F300 * F301 / F302</f>
        <v>0.1540186056</v>
      </c>
      <c r="H303" s="559" t="s">
        <v>1328</v>
      </c>
      <c r="I303" s="559" t="s">
        <v>1329</v>
      </c>
      <c r="J303" s="559" t="b">
        <f t="shared" si="7"/>
        <v>1</v>
      </c>
    </row>
    <row r="304" spans="1:10" hidden="1">
      <c r="A304" s="559" t="str">
        <f t="shared" si="6"/>
        <v>Residential_Appliances_Electric Range_1000000</v>
      </c>
      <c r="B304" t="s">
        <v>1165</v>
      </c>
      <c r="C304" t="s">
        <v>1168</v>
      </c>
      <c r="D304" t="s">
        <v>1326</v>
      </c>
      <c r="E304" s="562">
        <v>1000000</v>
      </c>
      <c r="F304" s="576">
        <v>1000000</v>
      </c>
      <c r="H304" s="559" t="s">
        <v>1328</v>
      </c>
      <c r="I304" s="559" t="s">
        <v>1329</v>
      </c>
      <c r="J304" s="559" t="b">
        <f t="shared" si="7"/>
        <v>0</v>
      </c>
    </row>
    <row r="305" spans="1:10" hidden="1">
      <c r="A305" s="559" t="str">
        <f t="shared" si="6"/>
        <v>Residential_Appliances_Electric Range_3412</v>
      </c>
      <c r="B305" t="s">
        <v>1165</v>
      </c>
      <c r="C305" t="s">
        <v>1168</v>
      </c>
      <c r="D305" t="s">
        <v>1326</v>
      </c>
      <c r="E305" s="562">
        <v>3412</v>
      </c>
      <c r="F305" s="576">
        <v>3412</v>
      </c>
      <c r="H305" s="559" t="s">
        <v>1328</v>
      </c>
      <c r="I305" s="559" t="s">
        <v>1329</v>
      </c>
      <c r="J305" s="559" t="b">
        <f t="shared" si="7"/>
        <v>0</v>
      </c>
    </row>
    <row r="306" spans="1:10" hidden="1">
      <c r="A306" s="559" t="str">
        <f t="shared" si="6"/>
        <v>Residential_Appliances_Electric Range_Hours</v>
      </c>
      <c r="B306" t="s">
        <v>1165</v>
      </c>
      <c r="C306" t="s">
        <v>1168</v>
      </c>
      <c r="D306" t="s">
        <v>1326</v>
      </c>
      <c r="E306" s="562" t="s">
        <v>1299</v>
      </c>
      <c r="F306" s="576">
        <v>239</v>
      </c>
      <c r="H306" s="559" t="s">
        <v>1328</v>
      </c>
      <c r="I306" s="559" t="s">
        <v>1329</v>
      </c>
      <c r="J306" s="559" t="b">
        <f t="shared" si="7"/>
        <v>0</v>
      </c>
    </row>
    <row r="307" spans="1:10" hidden="1">
      <c r="A307" s="559" t="str">
        <f t="shared" si="6"/>
        <v>Residential_Appliances_Electric Range_WHFd</v>
      </c>
      <c r="B307" t="s">
        <v>1165</v>
      </c>
      <c r="C307" t="s">
        <v>1168</v>
      </c>
      <c r="D307" t="s">
        <v>1326</v>
      </c>
      <c r="E307" s="562" t="s">
        <v>1357</v>
      </c>
      <c r="F307" s="563">
        <v>1.1100000000000001</v>
      </c>
      <c r="H307" s="559" t="s">
        <v>1328</v>
      </c>
      <c r="I307" s="559" t="s">
        <v>1329</v>
      </c>
      <c r="J307" s="559" t="b">
        <f t="shared" si="7"/>
        <v>0</v>
      </c>
    </row>
    <row r="308" spans="1:10" hidden="1">
      <c r="A308" s="559" t="str">
        <f t="shared" si="6"/>
        <v>Residential_Appliances_Electric Range_CF</v>
      </c>
      <c r="B308" t="s">
        <v>1165</v>
      </c>
      <c r="C308" t="s">
        <v>1168</v>
      </c>
      <c r="D308" t="s">
        <v>1326</v>
      </c>
      <c r="E308" s="562" t="s">
        <v>1224</v>
      </c>
      <c r="F308" s="563">
        <v>0.28999999999999998</v>
      </c>
      <c r="H308" s="559" t="s">
        <v>1328</v>
      </c>
      <c r="I308" s="559" t="s">
        <v>1329</v>
      </c>
      <c r="J308" s="559" t="b">
        <f t="shared" si="7"/>
        <v>0</v>
      </c>
    </row>
    <row r="309" spans="1:10" hidden="1">
      <c r="A309" s="559" t="str">
        <f t="shared" si="6"/>
        <v>Residential_Appliances_Electric Range_kW Saved per Unit</v>
      </c>
      <c r="B309" t="s">
        <v>1165</v>
      </c>
      <c r="C309" t="s">
        <v>1168</v>
      </c>
      <c r="D309" t="s">
        <v>1326</v>
      </c>
      <c r="E309" s="560" t="s">
        <v>1358</v>
      </c>
      <c r="F309" s="561" t="e">
        <f>((F284 - F277 + F293 - F298) * F304 / F305) / F306 * F307 * F308</f>
        <v>#REF!</v>
      </c>
      <c r="H309" s="559" t="s">
        <v>1328</v>
      </c>
      <c r="I309" s="559" t="s">
        <v>1329</v>
      </c>
      <c r="J309" s="559" t="b">
        <f t="shared" si="7"/>
        <v>1</v>
      </c>
    </row>
    <row r="310" spans="1:10" hidden="1">
      <c r="A310" s="559" t="str">
        <f t="shared" si="6"/>
        <v>Residential_Appliances_Electric Range_kWh Saved per Unit</v>
      </c>
      <c r="B310" t="s">
        <v>1165</v>
      </c>
      <c r="C310" t="s">
        <v>1168</v>
      </c>
      <c r="D310" t="s">
        <v>1326</v>
      </c>
      <c r="E310" s="568" t="s">
        <v>1227</v>
      </c>
      <c r="F310" s="569">
        <f>F283-F275</f>
        <v>11.532467532467535</v>
      </c>
      <c r="H310" s="559" t="s">
        <v>1328</v>
      </c>
      <c r="I310" s="559" t="s">
        <v>1329</v>
      </c>
      <c r="J310" s="559" t="b">
        <f t="shared" si="7"/>
        <v>1</v>
      </c>
    </row>
    <row r="311" spans="1:10" hidden="1">
      <c r="A311" s="559" t="str">
        <f t="shared" si="6"/>
        <v>Residential_Appliances_Electric Range_Incremental Cost</v>
      </c>
      <c r="B311" t="s">
        <v>1165</v>
      </c>
      <c r="C311" t="s">
        <v>1168</v>
      </c>
      <c r="D311" t="s">
        <v>1326</v>
      </c>
      <c r="E311" s="568" t="s">
        <v>1232</v>
      </c>
      <c r="F311" s="570">
        <f>949+200</f>
        <v>1149</v>
      </c>
      <c r="H311" s="559" t="s">
        <v>1328</v>
      </c>
      <c r="I311" s="559" t="s">
        <v>1329</v>
      </c>
      <c r="J311" s="559" t="b">
        <f t="shared" si="7"/>
        <v>1</v>
      </c>
    </row>
    <row r="312" spans="1:10" hidden="1">
      <c r="A312" s="559" t="str">
        <f t="shared" ref="A312:A375" si="8">B312&amp;"_"&amp;C312&amp;"_"&amp;D312&amp;"_"&amp;E312</f>
        <v>Residential_Appliances_Electric Range_BTU Impact_Existing_Fossil Fuel</v>
      </c>
      <c r="B312" t="s">
        <v>1165</v>
      </c>
      <c r="C312" t="s">
        <v>1168</v>
      </c>
      <c r="D312" t="s">
        <v>1326</v>
      </c>
      <c r="E312" s="568" t="s">
        <v>1234</v>
      </c>
      <c r="F312" s="569">
        <f>-F274*10^6</f>
        <v>-2130000</v>
      </c>
      <c r="H312" s="559" t="s">
        <v>1328</v>
      </c>
      <c r="I312" s="559" t="s">
        <v>1329</v>
      </c>
      <c r="J312" s="559" t="b">
        <f t="shared" si="7"/>
        <v>1</v>
      </c>
    </row>
    <row r="313" spans="1:10" hidden="1">
      <c r="A313" s="559" t="str">
        <f t="shared" si="8"/>
        <v>Residential_Appliances_Electric Range_BTU Impact_Existing_Winter Electricity</v>
      </c>
      <c r="B313" t="s">
        <v>1165</v>
      </c>
      <c r="C313" t="s">
        <v>1168</v>
      </c>
      <c r="D313" t="s">
        <v>1326</v>
      </c>
      <c r="E313" s="568" t="s">
        <v>1235</v>
      </c>
      <c r="F313" s="569">
        <f>-F287*(8/12)*10^6</f>
        <v>-123514.39999999998</v>
      </c>
      <c r="H313" s="559" t="s">
        <v>1328</v>
      </c>
      <c r="I313" s="559" t="s">
        <v>1329</v>
      </c>
      <c r="J313" s="559" t="b">
        <f t="shared" si="7"/>
        <v>1</v>
      </c>
    </row>
    <row r="314" spans="1:10" hidden="1">
      <c r="A314" s="559" t="str">
        <f t="shared" si="8"/>
        <v>Residential_Appliances_Electric Range_BTU Impact_Existing_Summer Electricity</v>
      </c>
      <c r="B314" t="s">
        <v>1165</v>
      </c>
      <c r="C314" t="s">
        <v>1168</v>
      </c>
      <c r="D314" t="s">
        <v>1326</v>
      </c>
      <c r="E314" s="568" t="s">
        <v>1236</v>
      </c>
      <c r="F314" s="569">
        <f>-F287*(4/12)*10^6</f>
        <v>-61757.19999999999</v>
      </c>
      <c r="H314" s="559" t="s">
        <v>1328</v>
      </c>
      <c r="I314" s="559" t="s">
        <v>1329</v>
      </c>
      <c r="J314" s="559" t="b">
        <f t="shared" si="7"/>
        <v>1</v>
      </c>
    </row>
    <row r="315" spans="1:10" hidden="1">
      <c r="A315" s="559" t="str">
        <f t="shared" si="8"/>
        <v>Residential_Appliances_Electric Range_BTU Impact_New_Fossil Fuel</v>
      </c>
      <c r="B315" t="s">
        <v>1165</v>
      </c>
      <c r="C315" t="s">
        <v>1168</v>
      </c>
      <c r="D315" t="s">
        <v>1326</v>
      </c>
      <c r="E315" s="568" t="s">
        <v>1237</v>
      </c>
      <c r="F315" s="569">
        <f>F303*10^6</f>
        <v>154018.60560000001</v>
      </c>
      <c r="H315" s="559" t="s">
        <v>1328</v>
      </c>
      <c r="I315" s="559" t="s">
        <v>1329</v>
      </c>
      <c r="J315" s="559" t="b">
        <f t="shared" si="7"/>
        <v>1</v>
      </c>
    </row>
    <row r="316" spans="1:10" hidden="1">
      <c r="A316" s="559" t="str">
        <f t="shared" si="8"/>
        <v>Residential_Appliances_Electric Range_BTU Impact_New_Winter Electricity</v>
      </c>
      <c r="B316" t="s">
        <v>1165</v>
      </c>
      <c r="C316" t="s">
        <v>1168</v>
      </c>
      <c r="D316" t="s">
        <v>1326</v>
      </c>
      <c r="E316" s="568" t="s">
        <v>1238</v>
      </c>
      <c r="F316" s="569">
        <f xml:space="preserve"> (F280*10^6) * (8/12) + F298*10^6</f>
        <v>686220.37469538464</v>
      </c>
      <c r="H316" s="559" t="s">
        <v>1328</v>
      </c>
      <c r="I316" s="559" t="s">
        <v>1329</v>
      </c>
      <c r="J316" s="559" t="b">
        <f t="shared" si="7"/>
        <v>1</v>
      </c>
    </row>
    <row r="317" spans="1:10" hidden="1">
      <c r="A317" s="559" t="str">
        <f t="shared" si="8"/>
        <v>Residential_Appliances_Electric Range_BTU Impact_New_Summer Electricity</v>
      </c>
      <c r="B317" t="s">
        <v>1165</v>
      </c>
      <c r="C317" t="s">
        <v>1168</v>
      </c>
      <c r="D317" t="s">
        <v>1326</v>
      </c>
      <c r="E317" s="568" t="s">
        <v>1239</v>
      </c>
      <c r="F317" s="569" t="e">
        <f xml:space="preserve"> (F280*10^6) * (4/12) + F293*10^6</f>
        <v>#REF!</v>
      </c>
      <c r="H317" s="559" t="s">
        <v>1328</v>
      </c>
      <c r="I317" s="559" t="s">
        <v>1329</v>
      </c>
      <c r="J317" s="559" t="b">
        <f t="shared" si="7"/>
        <v>1</v>
      </c>
    </row>
    <row r="318" spans="1:10" hidden="1">
      <c r="A318" s="559" t="str">
        <f t="shared" si="8"/>
        <v>Residential_Appliances_Electric Range_</v>
      </c>
      <c r="B318" t="s">
        <v>1165</v>
      </c>
      <c r="C318" t="s">
        <v>1168</v>
      </c>
      <c r="D318" t="s">
        <v>1326</v>
      </c>
      <c r="H318" s="559" t="s">
        <v>1328</v>
      </c>
      <c r="I318" s="559" t="s">
        <v>1329</v>
      </c>
      <c r="J318" s="559" t="b">
        <f t="shared" si="7"/>
        <v>0</v>
      </c>
    </row>
    <row r="319" spans="1:10" hidden="1">
      <c r="A319" s="559" t="str">
        <f t="shared" si="8"/>
        <v>Residential_Building Shell_Air Sealing (Electric Heat)_CFM50_existing</v>
      </c>
      <c r="B319" t="s">
        <v>1165</v>
      </c>
      <c r="C319" t="s">
        <v>1169</v>
      </c>
      <c r="D319" t="s">
        <v>1359</v>
      </c>
      <c r="E319" s="560" t="s">
        <v>1360</v>
      </c>
      <c r="F319" s="571">
        <f>[18]Dashboard_FS!$O$3</f>
        <v>0</v>
      </c>
      <c r="G319" s="559" t="s">
        <v>1361</v>
      </c>
      <c r="H319" s="559" t="s">
        <v>1362</v>
      </c>
      <c r="I319" s="559" t="s">
        <v>1363</v>
      </c>
      <c r="J319" s="559" t="b">
        <f t="shared" si="7"/>
        <v>1</v>
      </c>
    </row>
    <row r="320" spans="1:10" hidden="1">
      <c r="A320" s="559" t="str">
        <f t="shared" si="8"/>
        <v>Residential_Building Shell_Air Sealing (Electric Heat)_CFM50_new</v>
      </c>
      <c r="B320" t="s">
        <v>1165</v>
      </c>
      <c r="C320" t="s">
        <v>1169</v>
      </c>
      <c r="D320" t="s">
        <v>1359</v>
      </c>
      <c r="E320" s="562" t="s">
        <v>1364</v>
      </c>
      <c r="F320" s="572">
        <v>0</v>
      </c>
      <c r="G320" s="559" t="s">
        <v>1365</v>
      </c>
      <c r="H320" s="559" t="s">
        <v>1362</v>
      </c>
      <c r="I320" s="559" t="s">
        <v>1363</v>
      </c>
      <c r="J320" s="559" t="b">
        <f t="shared" si="7"/>
        <v>0</v>
      </c>
    </row>
    <row r="321" spans="1:10" hidden="1">
      <c r="A321" s="559" t="str">
        <f t="shared" si="8"/>
        <v>Residential_Building Shell_Air Sealing (Electric Heat)_N_cool</v>
      </c>
      <c r="B321" t="s">
        <v>1165</v>
      </c>
      <c r="C321" t="s">
        <v>1169</v>
      </c>
      <c r="D321" t="s">
        <v>1359</v>
      </c>
      <c r="E321" s="562" t="s">
        <v>1366</v>
      </c>
      <c r="F321" s="572">
        <v>36.5</v>
      </c>
      <c r="G321" s="559" t="s">
        <v>1367</v>
      </c>
      <c r="H321" s="559" t="s">
        <v>1362</v>
      </c>
      <c r="I321" s="559" t="s">
        <v>1363</v>
      </c>
      <c r="J321" s="559" t="b">
        <f t="shared" si="7"/>
        <v>0</v>
      </c>
    </row>
    <row r="322" spans="1:10" hidden="1">
      <c r="A322" s="559" t="str">
        <f t="shared" si="8"/>
        <v>Residential_Building Shell_Air Sealing (Electric Heat)_60</v>
      </c>
      <c r="B322" t="s">
        <v>1165</v>
      </c>
      <c r="C322" t="s">
        <v>1169</v>
      </c>
      <c r="D322" t="s">
        <v>1359</v>
      </c>
      <c r="E322" s="562">
        <v>60</v>
      </c>
      <c r="F322" s="572">
        <v>60</v>
      </c>
      <c r="H322" s="559" t="s">
        <v>1362</v>
      </c>
      <c r="I322" s="559" t="s">
        <v>1363</v>
      </c>
      <c r="J322" s="559" t="b">
        <f t="shared" ref="J322:J391" si="9">_xlfn.ISFORMULA(F322)</f>
        <v>0</v>
      </c>
    </row>
    <row r="323" spans="1:10" hidden="1">
      <c r="A323" s="559" t="str">
        <f t="shared" si="8"/>
        <v>Residential_Building Shell_Air Sealing (Electric Heat)_24</v>
      </c>
      <c r="B323" t="s">
        <v>1165</v>
      </c>
      <c r="C323" t="s">
        <v>1169</v>
      </c>
      <c r="D323" t="s">
        <v>1359</v>
      </c>
      <c r="E323" s="562">
        <v>24</v>
      </c>
      <c r="F323" s="572">
        <v>24</v>
      </c>
      <c r="H323" s="559" t="s">
        <v>1362</v>
      </c>
      <c r="I323" s="559" t="s">
        <v>1363</v>
      </c>
      <c r="J323" s="559" t="b">
        <f t="shared" si="9"/>
        <v>0</v>
      </c>
    </row>
    <row r="324" spans="1:10" hidden="1">
      <c r="A324" s="559" t="str">
        <f t="shared" si="8"/>
        <v>Residential_Building Shell_Air Sealing (Electric Heat)_CDD</v>
      </c>
      <c r="B324" t="s">
        <v>1165</v>
      </c>
      <c r="C324" t="s">
        <v>1169</v>
      </c>
      <c r="D324" t="s">
        <v>1359</v>
      </c>
      <c r="E324" s="562" t="s">
        <v>1368</v>
      </c>
      <c r="F324" s="582" t="e">
        <f>INDEX('[18]CZ Inputs'!G:G,MATCH(A324&amp;"_"&amp;[18]Dashboard_EE!$K$3,'[18]CZ Inputs'!A:A,0))</f>
        <v>#N/A</v>
      </c>
      <c r="G324" s="559" t="s">
        <v>1369</v>
      </c>
      <c r="H324" s="559" t="s">
        <v>1362</v>
      </c>
      <c r="I324" s="559" t="s">
        <v>1363</v>
      </c>
      <c r="J324" s="559" t="b">
        <f t="shared" si="9"/>
        <v>1</v>
      </c>
    </row>
    <row r="325" spans="1:10" hidden="1">
      <c r="A325" s="559" t="str">
        <f t="shared" si="8"/>
        <v>Residential_Building Shell_Air Sealing (Electric Heat)_DUA</v>
      </c>
      <c r="B325" t="s">
        <v>1165</v>
      </c>
      <c r="C325" t="s">
        <v>1169</v>
      </c>
      <c r="D325" t="s">
        <v>1359</v>
      </c>
      <c r="E325" s="562" t="s">
        <v>1370</v>
      </c>
      <c r="F325" s="572">
        <v>0.75</v>
      </c>
      <c r="H325" s="559" t="s">
        <v>1362</v>
      </c>
      <c r="I325" s="559" t="s">
        <v>1363</v>
      </c>
      <c r="J325" s="559" t="b">
        <f t="shared" si="9"/>
        <v>0</v>
      </c>
    </row>
    <row r="326" spans="1:10" hidden="1">
      <c r="A326" s="559" t="str">
        <f t="shared" si="8"/>
        <v>Residential_Building Shell_Air Sealing (Electric Heat)_0.018</v>
      </c>
      <c r="B326" t="s">
        <v>1165</v>
      </c>
      <c r="C326" t="s">
        <v>1169</v>
      </c>
      <c r="D326" t="s">
        <v>1359</v>
      </c>
      <c r="E326" s="562">
        <v>1.7999999999999999E-2</v>
      </c>
      <c r="F326" s="572">
        <v>1.7999999999999999E-2</v>
      </c>
      <c r="H326" s="559" t="s">
        <v>1362</v>
      </c>
      <c r="I326" s="559" t="s">
        <v>1363</v>
      </c>
      <c r="J326" s="559" t="b">
        <f t="shared" si="9"/>
        <v>0</v>
      </c>
    </row>
    <row r="327" spans="1:10" hidden="1">
      <c r="A327" s="559" t="str">
        <f t="shared" si="8"/>
        <v>Residential_Building Shell_Air Sealing (Electric Heat)_1000</v>
      </c>
      <c r="B327" t="s">
        <v>1165</v>
      </c>
      <c r="C327" t="s">
        <v>1169</v>
      </c>
      <c r="D327" t="s">
        <v>1359</v>
      </c>
      <c r="E327" s="562">
        <v>1000</v>
      </c>
      <c r="F327" s="572">
        <v>1000</v>
      </c>
      <c r="H327" s="559" t="s">
        <v>1362</v>
      </c>
      <c r="I327" s="559" t="s">
        <v>1363</v>
      </c>
      <c r="J327" s="559" t="b">
        <f t="shared" si="9"/>
        <v>0</v>
      </c>
    </row>
    <row r="328" spans="1:10" hidden="1">
      <c r="A328" s="559" t="str">
        <f t="shared" si="8"/>
        <v>Residential_Building Shell_Air Sealing (Electric Heat)_ηCool</v>
      </c>
      <c r="B328" t="s">
        <v>1165</v>
      </c>
      <c r="C328" t="s">
        <v>1169</v>
      </c>
      <c r="D328" t="s">
        <v>1359</v>
      </c>
      <c r="E328" s="560" t="s">
        <v>1371</v>
      </c>
      <c r="F328" s="571" t="e">
        <f>[18]Dashboard_FS!$K$13</f>
        <v>#REF!</v>
      </c>
      <c r="G328" s="559" t="s">
        <v>1187</v>
      </c>
      <c r="H328" s="559" t="s">
        <v>1362</v>
      </c>
      <c r="I328" s="559" t="s">
        <v>1363</v>
      </c>
      <c r="J328" s="559" t="b">
        <f t="shared" si="9"/>
        <v>1</v>
      </c>
    </row>
    <row r="329" spans="1:10" hidden="1">
      <c r="A329" s="559" t="str">
        <f t="shared" si="8"/>
        <v>Residential_Building Shell_Air Sealing (Electric Heat)_ηCool_Mid-Life_Adj</v>
      </c>
      <c r="B329" t="s">
        <v>1165</v>
      </c>
      <c r="C329" t="s">
        <v>1169</v>
      </c>
      <c r="D329" t="s">
        <v>1359</v>
      </c>
      <c r="E329" s="560" t="s">
        <v>1372</v>
      </c>
      <c r="F329" s="571" t="e">
        <f>[18]Dashboard_FS!$K$13</f>
        <v>#REF!</v>
      </c>
      <c r="G329" s="559" t="s">
        <v>1187</v>
      </c>
      <c r="H329" s="559" t="s">
        <v>1362</v>
      </c>
      <c r="I329" s="559" t="s">
        <v>1363</v>
      </c>
      <c r="J329" s="559" t="b">
        <f t="shared" si="9"/>
        <v>1</v>
      </c>
    </row>
    <row r="330" spans="1:10" hidden="1">
      <c r="A330" s="559" t="str">
        <f t="shared" si="8"/>
        <v>Residential_Building Shell_Air Sealing (Electric Heat)_LM</v>
      </c>
      <c r="B330" t="s">
        <v>1165</v>
      </c>
      <c r="C330" t="s">
        <v>1169</v>
      </c>
      <c r="D330" t="s">
        <v>1359</v>
      </c>
      <c r="E330" s="562" t="s">
        <v>1292</v>
      </c>
      <c r="F330" s="572">
        <v>3.7</v>
      </c>
      <c r="G330" s="559" t="s">
        <v>1373</v>
      </c>
      <c r="H330" s="559" t="s">
        <v>1362</v>
      </c>
      <c r="I330" s="559" t="s">
        <v>1363</v>
      </c>
      <c r="J330" s="559" t="b">
        <f t="shared" si="9"/>
        <v>0</v>
      </c>
    </row>
    <row r="331" spans="1:10" hidden="1">
      <c r="A331" s="559" t="str">
        <f t="shared" si="8"/>
        <v>Residential_Building Shell_Air Sealing (Electric Heat)_ADJAirSealingCool</v>
      </c>
      <c r="B331" t="s">
        <v>1165</v>
      </c>
      <c r="C331" t="s">
        <v>1169</v>
      </c>
      <c r="D331" t="s">
        <v>1359</v>
      </c>
      <c r="E331" s="562" t="s">
        <v>1374</v>
      </c>
      <c r="F331" s="582">
        <v>1.1399999999999999</v>
      </c>
      <c r="G331" s="559" t="s">
        <v>1375</v>
      </c>
      <c r="H331" s="559" t="s">
        <v>1362</v>
      </c>
      <c r="I331" s="559" t="s">
        <v>1363</v>
      </c>
      <c r="J331" s="559" t="b">
        <f t="shared" si="9"/>
        <v>0</v>
      </c>
    </row>
    <row r="332" spans="1:10" hidden="1">
      <c r="A332" s="559" t="str">
        <f t="shared" si="8"/>
        <v>Residential_Building Shell_Air Sealing (Electric Heat)_IENetCorrection</v>
      </c>
      <c r="B332" t="s">
        <v>1165</v>
      </c>
      <c r="C332" t="s">
        <v>1169</v>
      </c>
      <c r="D332" t="s">
        <v>1359</v>
      </c>
      <c r="E332" s="562" t="s">
        <v>1376</v>
      </c>
      <c r="F332" s="582">
        <f>IF([18]Dashboard_FS!$K$19="Yes",110%,100%)</f>
        <v>1.1000000000000001</v>
      </c>
      <c r="H332" s="559" t="s">
        <v>1362</v>
      </c>
      <c r="I332" s="559" t="s">
        <v>1363</v>
      </c>
      <c r="J332" s="559" t="b">
        <f t="shared" si="9"/>
        <v>1</v>
      </c>
    </row>
    <row r="333" spans="1:10" hidden="1">
      <c r="A333" s="559" t="str">
        <f t="shared" si="8"/>
        <v>Residential_Building Shell_Air Sealing (Electric Heat)_%Cool</v>
      </c>
      <c r="B333" t="s">
        <v>1165</v>
      </c>
      <c r="C333" t="s">
        <v>1169</v>
      </c>
      <c r="D333" t="s">
        <v>1359</v>
      </c>
      <c r="E333" s="562" t="s">
        <v>1344</v>
      </c>
      <c r="F333" s="572">
        <v>1</v>
      </c>
      <c r="H333" s="559" t="s">
        <v>1362</v>
      </c>
      <c r="I333" s="559" t="s">
        <v>1363</v>
      </c>
      <c r="J333" s="559" t="b">
        <f t="shared" si="9"/>
        <v>0</v>
      </c>
    </row>
    <row r="334" spans="1:10" hidden="1">
      <c r="A334" s="559" t="str">
        <f t="shared" si="8"/>
        <v>Residential_Building Shell_Air Sealing (Electric Heat)_Delta_kWh_cooling</v>
      </c>
      <c r="B334" t="s">
        <v>1165</v>
      </c>
      <c r="C334" t="s">
        <v>1169</v>
      </c>
      <c r="D334" t="s">
        <v>1359</v>
      </c>
      <c r="E334" s="560" t="s">
        <v>1377</v>
      </c>
      <c r="F334" s="571" t="e">
        <f xml:space="preserve"> ((((F319 - F320) / F321) * F322 * F323 * F324 * F325 * F326) / (F327 * F328) * F330 * F331) * F332 * F333</f>
        <v>#N/A</v>
      </c>
      <c r="H334" s="559" t="s">
        <v>1362</v>
      </c>
      <c r="I334" s="559" t="s">
        <v>1363</v>
      </c>
      <c r="J334" s="559" t="b">
        <f t="shared" si="9"/>
        <v>1</v>
      </c>
    </row>
    <row r="335" spans="1:10" hidden="1">
      <c r="A335" s="559" t="str">
        <f t="shared" si="8"/>
        <v>Residential_Building Shell_Air Sealing (Electric Heat)_Delta_kWh_cooling_Mid-Life_Adj</v>
      </c>
      <c r="B335" t="s">
        <v>1165</v>
      </c>
      <c r="C335" t="s">
        <v>1169</v>
      </c>
      <c r="D335" t="s">
        <v>1359</v>
      </c>
      <c r="E335" s="560" t="s">
        <v>1378</v>
      </c>
      <c r="F335" s="571" t="e">
        <f xml:space="preserve"> ((((F319 - F320) / F321) * F322 * F323 * F324 * F325 * F326) / (F327 * F329) * F330 * F331) * F332 * F333</f>
        <v>#N/A</v>
      </c>
      <c r="H335" s="559" t="s">
        <v>1362</v>
      </c>
      <c r="I335" s="559" t="s">
        <v>1363</v>
      </c>
      <c r="J335" s="559" t="b">
        <f t="shared" si="9"/>
        <v>1</v>
      </c>
    </row>
    <row r="336" spans="1:10" hidden="1">
      <c r="A336" s="559" t="str">
        <f t="shared" si="8"/>
        <v>Residential_Building Shell_Air Sealing (Electric Heat)_CFM50_existing</v>
      </c>
      <c r="B336" t="s">
        <v>1165</v>
      </c>
      <c r="C336" t="s">
        <v>1169</v>
      </c>
      <c r="D336" t="s">
        <v>1359</v>
      </c>
      <c r="E336" s="560" t="s">
        <v>1360</v>
      </c>
      <c r="F336" s="571">
        <f>[18]Dashboard_FS!$O$3</f>
        <v>0</v>
      </c>
      <c r="G336" s="559" t="s">
        <v>1361</v>
      </c>
      <c r="H336" s="559" t="s">
        <v>1362</v>
      </c>
      <c r="I336" s="559" t="s">
        <v>1363</v>
      </c>
      <c r="J336" s="559" t="b">
        <f t="shared" si="9"/>
        <v>1</v>
      </c>
    </row>
    <row r="337" spans="1:10" hidden="1">
      <c r="A337" s="559" t="str">
        <f t="shared" si="8"/>
        <v>Residential_Building Shell_Air Sealing (Electric Heat)_CFM50_new</v>
      </c>
      <c r="B337" t="s">
        <v>1165</v>
      </c>
      <c r="C337" t="s">
        <v>1169</v>
      </c>
      <c r="D337" t="s">
        <v>1359</v>
      </c>
      <c r="E337" s="562" t="s">
        <v>1364</v>
      </c>
      <c r="F337" s="572">
        <v>0</v>
      </c>
      <c r="G337" s="559" t="s">
        <v>1365</v>
      </c>
      <c r="H337" s="559" t="s">
        <v>1362</v>
      </c>
      <c r="I337" s="559" t="s">
        <v>1363</v>
      </c>
      <c r="J337" s="559" t="b">
        <f t="shared" si="9"/>
        <v>0</v>
      </c>
    </row>
    <row r="338" spans="1:10" hidden="1">
      <c r="A338" s="559" t="str">
        <f t="shared" si="8"/>
        <v>Residential_Building Shell_Air Sealing (Electric Heat)_N_heat</v>
      </c>
      <c r="B338" t="s">
        <v>1165</v>
      </c>
      <c r="C338" t="s">
        <v>1169</v>
      </c>
      <c r="D338" t="s">
        <v>1359</v>
      </c>
      <c r="E338" s="562" t="s">
        <v>1379</v>
      </c>
      <c r="F338" s="572">
        <v>21.5</v>
      </c>
      <c r="G338" s="559" t="s">
        <v>1367</v>
      </c>
      <c r="H338" s="559" t="s">
        <v>1362</v>
      </c>
      <c r="I338" s="559" t="s">
        <v>1363</v>
      </c>
      <c r="J338" s="559" t="b">
        <f t="shared" si="9"/>
        <v>0</v>
      </c>
    </row>
    <row r="339" spans="1:10" hidden="1">
      <c r="A339" s="559" t="str">
        <f t="shared" si="8"/>
        <v>Residential_Building Shell_Air Sealing (Electric Heat)_60</v>
      </c>
      <c r="B339" t="s">
        <v>1165</v>
      </c>
      <c r="C339" t="s">
        <v>1169</v>
      </c>
      <c r="D339" t="s">
        <v>1359</v>
      </c>
      <c r="E339" s="562">
        <v>60</v>
      </c>
      <c r="F339" s="572">
        <v>60</v>
      </c>
      <c r="H339" s="559" t="s">
        <v>1362</v>
      </c>
      <c r="I339" s="559" t="s">
        <v>1363</v>
      </c>
      <c r="J339" s="559" t="b">
        <f t="shared" si="9"/>
        <v>0</v>
      </c>
    </row>
    <row r="340" spans="1:10" hidden="1">
      <c r="A340" s="559" t="str">
        <f t="shared" si="8"/>
        <v>Residential_Building Shell_Air Sealing (Electric Heat)_24</v>
      </c>
      <c r="B340" t="s">
        <v>1165</v>
      </c>
      <c r="C340" t="s">
        <v>1169</v>
      </c>
      <c r="D340" t="s">
        <v>1359</v>
      </c>
      <c r="E340" s="562">
        <v>24</v>
      </c>
      <c r="F340" s="572">
        <v>24</v>
      </c>
      <c r="H340" s="559" t="s">
        <v>1362</v>
      </c>
      <c r="I340" s="559" t="s">
        <v>1363</v>
      </c>
      <c r="J340" s="559" t="b">
        <f t="shared" si="9"/>
        <v>0</v>
      </c>
    </row>
    <row r="341" spans="1:10" hidden="1">
      <c r="A341" s="559" t="str">
        <f t="shared" si="8"/>
        <v>Residential_Building Shell_Air Sealing (Electric Heat)_HDD</v>
      </c>
      <c r="B341" t="s">
        <v>1165</v>
      </c>
      <c r="C341" t="s">
        <v>1169</v>
      </c>
      <c r="D341" t="s">
        <v>1359</v>
      </c>
      <c r="E341" s="562" t="s">
        <v>1380</v>
      </c>
      <c r="F341" s="582" t="e">
        <f>INDEX('[18]CZ Inputs'!G:G,MATCH(A341&amp;"_"&amp;[18]Dashboard_EE!$K$3,'[18]CZ Inputs'!A:A,0))</f>
        <v>#N/A</v>
      </c>
      <c r="G341" s="559" t="s">
        <v>1369</v>
      </c>
      <c r="H341" s="559" t="s">
        <v>1362</v>
      </c>
      <c r="I341" s="559" t="s">
        <v>1363</v>
      </c>
      <c r="J341" s="559" t="b">
        <f t="shared" si="9"/>
        <v>1</v>
      </c>
    </row>
    <row r="342" spans="1:10" hidden="1">
      <c r="A342" s="559" t="str">
        <f t="shared" si="8"/>
        <v>Residential_Building Shell_Air Sealing (Electric Heat)_0.018</v>
      </c>
      <c r="B342" t="s">
        <v>1165</v>
      </c>
      <c r="C342" t="s">
        <v>1169</v>
      </c>
      <c r="D342" t="s">
        <v>1359</v>
      </c>
      <c r="E342" s="562">
        <v>1.7999999999999999E-2</v>
      </c>
      <c r="F342" s="572">
        <v>1.7999999999999999E-2</v>
      </c>
      <c r="H342" s="559" t="s">
        <v>1362</v>
      </c>
      <c r="I342" s="559" t="s">
        <v>1363</v>
      </c>
      <c r="J342" s="559" t="b">
        <f t="shared" si="9"/>
        <v>0</v>
      </c>
    </row>
    <row r="343" spans="1:10" hidden="1">
      <c r="A343" s="559" t="str">
        <f t="shared" si="8"/>
        <v>Residential_Building Shell_Air Sealing (Electric Heat)_ηHeat</v>
      </c>
      <c r="B343" t="s">
        <v>1165</v>
      </c>
      <c r="C343" t="s">
        <v>1169</v>
      </c>
      <c r="D343" t="s">
        <v>1359</v>
      </c>
      <c r="E343" s="560" t="s">
        <v>1381</v>
      </c>
      <c r="F343" s="571" t="e">
        <f>[18]Dashboard_FS!$K$6</f>
        <v>#REF!</v>
      </c>
      <c r="G343" s="559" t="s">
        <v>1187</v>
      </c>
      <c r="H343" s="559" t="s">
        <v>1362</v>
      </c>
      <c r="I343" s="559" t="s">
        <v>1363</v>
      </c>
      <c r="J343" s="559" t="b">
        <f t="shared" si="9"/>
        <v>1</v>
      </c>
    </row>
    <row r="344" spans="1:10" hidden="1">
      <c r="A344" s="559" t="str">
        <f t="shared" si="8"/>
        <v>Residential_Building Shell_Air Sealing (Electric Heat)_ηHeat_Mid-Life_Adj</v>
      </c>
      <c r="B344" t="s">
        <v>1165</v>
      </c>
      <c r="C344" t="s">
        <v>1169</v>
      </c>
      <c r="D344" t="s">
        <v>1359</v>
      </c>
      <c r="E344" s="560" t="s">
        <v>1382</v>
      </c>
      <c r="F344" s="571" t="e">
        <f>[18]Dashboard_FS!$K$6</f>
        <v>#REF!</v>
      </c>
      <c r="G344" s="559" t="s">
        <v>1187</v>
      </c>
      <c r="H344" s="559" t="s">
        <v>1362</v>
      </c>
      <c r="I344" s="559" t="s">
        <v>1363</v>
      </c>
      <c r="J344" s="559" t="b">
        <f t="shared" si="9"/>
        <v>1</v>
      </c>
    </row>
    <row r="345" spans="1:10" hidden="1">
      <c r="A345" s="559" t="str">
        <f t="shared" si="8"/>
        <v>Residential_Building Shell_Air Sealing (Electric Heat)_3412</v>
      </c>
      <c r="B345" t="s">
        <v>1165</v>
      </c>
      <c r="C345" t="s">
        <v>1169</v>
      </c>
      <c r="D345" t="s">
        <v>1359</v>
      </c>
      <c r="E345" s="562">
        <v>3412</v>
      </c>
      <c r="F345" s="572">
        <v>3412</v>
      </c>
      <c r="H345" s="559" t="s">
        <v>1362</v>
      </c>
      <c r="I345" s="559" t="s">
        <v>1363</v>
      </c>
      <c r="J345" s="559" t="b">
        <f t="shared" si="9"/>
        <v>0</v>
      </c>
    </row>
    <row r="346" spans="1:10" hidden="1">
      <c r="A346" s="559" t="str">
        <f t="shared" si="8"/>
        <v>Residential_Building Shell_Air Sealing (Electric Heat)_%ElectricHeat</v>
      </c>
      <c r="B346" t="s">
        <v>1165</v>
      </c>
      <c r="C346" t="s">
        <v>1169</v>
      </c>
      <c r="D346" t="s">
        <v>1359</v>
      </c>
      <c r="E346" s="562" t="s">
        <v>1349</v>
      </c>
      <c r="F346" s="572">
        <v>1</v>
      </c>
      <c r="G346" s="559" t="s">
        <v>1383</v>
      </c>
      <c r="H346" s="559" t="s">
        <v>1362</v>
      </c>
      <c r="I346" s="559" t="s">
        <v>1363</v>
      </c>
      <c r="J346" s="559" t="b">
        <f t="shared" si="9"/>
        <v>0</v>
      </c>
    </row>
    <row r="347" spans="1:10" hidden="1">
      <c r="A347" s="559" t="str">
        <f t="shared" si="8"/>
        <v>Residential_Building Shell_Air Sealing (Electric Heat)_Delta_kWh_heatingElectric</v>
      </c>
      <c r="B347" t="s">
        <v>1165</v>
      </c>
      <c r="C347" t="s">
        <v>1169</v>
      </c>
      <c r="D347" t="s">
        <v>1359</v>
      </c>
      <c r="E347" s="560" t="s">
        <v>1384</v>
      </c>
      <c r="F347" s="566" t="e">
        <f xml:space="preserve"> ((((F336 - F337) / F338) * F339 * F340 * F341 * F342) / (F343 * F345)) * F346</f>
        <v>#N/A</v>
      </c>
      <c r="H347" s="559" t="s">
        <v>1362</v>
      </c>
      <c r="I347" s="559" t="s">
        <v>1363</v>
      </c>
      <c r="J347" s="559" t="b">
        <f t="shared" si="9"/>
        <v>1</v>
      </c>
    </row>
    <row r="348" spans="1:10" hidden="1">
      <c r="A348" s="559" t="str">
        <f t="shared" si="8"/>
        <v>Residential_Building Shell_Air Sealing (Electric Heat)_Delta_kWh_heatingElectric_Mid-Life_Adj</v>
      </c>
      <c r="B348" t="s">
        <v>1165</v>
      </c>
      <c r="C348" t="s">
        <v>1169</v>
      </c>
      <c r="D348" t="s">
        <v>1359</v>
      </c>
      <c r="E348" s="560" t="s">
        <v>1385</v>
      </c>
      <c r="F348" s="566" t="e">
        <f xml:space="preserve"> ((((F336 - F337) / F338) * F339 * F340 * F341 * F342) / (F344 * F345)) * F346</f>
        <v>#N/A</v>
      </c>
      <c r="H348" s="559" t="s">
        <v>1362</v>
      </c>
      <c r="I348" s="559" t="s">
        <v>1363</v>
      </c>
      <c r="J348" s="559" t="b">
        <f t="shared" si="9"/>
        <v>1</v>
      </c>
    </row>
    <row r="349" spans="1:10" hidden="1">
      <c r="A349" s="559" t="str">
        <f t="shared" si="8"/>
        <v>Residential_Building Shell_Air Sealing (Electric Heat)_Fe</v>
      </c>
      <c r="B349" t="s">
        <v>1165</v>
      </c>
      <c r="C349" t="s">
        <v>1169</v>
      </c>
      <c r="D349" t="s">
        <v>1359</v>
      </c>
      <c r="E349" s="562" t="s">
        <v>1198</v>
      </c>
      <c r="F349" s="583">
        <v>3.1399999999999997E-2</v>
      </c>
      <c r="H349" s="559" t="s">
        <v>1362</v>
      </c>
      <c r="I349" s="559" t="s">
        <v>1363</v>
      </c>
      <c r="J349" s="559" t="b">
        <f t="shared" si="9"/>
        <v>0</v>
      </c>
    </row>
    <row r="350" spans="1:10" hidden="1">
      <c r="A350" s="559" t="str">
        <f t="shared" si="8"/>
        <v>Residential_Building Shell_Air Sealing (Electric Heat)_29.3</v>
      </c>
      <c r="B350" t="s">
        <v>1165</v>
      </c>
      <c r="C350" t="s">
        <v>1169</v>
      </c>
      <c r="D350" t="s">
        <v>1359</v>
      </c>
      <c r="E350" s="562">
        <v>29.3</v>
      </c>
      <c r="F350" s="583">
        <v>29.3</v>
      </c>
      <c r="H350" s="559" t="s">
        <v>1362</v>
      </c>
      <c r="I350" s="559" t="s">
        <v>1363</v>
      </c>
      <c r="J350" s="559" t="b">
        <f t="shared" si="9"/>
        <v>0</v>
      </c>
    </row>
    <row r="351" spans="1:10" hidden="1">
      <c r="A351" s="559" t="str">
        <f t="shared" si="8"/>
        <v>Residential_Building Shell_Air Sealing (Electric Heat)_ADJAirSealingHeatFan</v>
      </c>
      <c r="B351" t="s">
        <v>1165</v>
      </c>
      <c r="C351" t="s">
        <v>1169</v>
      </c>
      <c r="D351" t="s">
        <v>1359</v>
      </c>
      <c r="E351" s="562" t="s">
        <v>1386</v>
      </c>
      <c r="F351" s="584">
        <v>1.1299999999999999</v>
      </c>
      <c r="G351" s="559" t="s">
        <v>1375</v>
      </c>
      <c r="H351" s="559" t="s">
        <v>1362</v>
      </c>
      <c r="I351" s="559" t="s">
        <v>1363</v>
      </c>
      <c r="J351" s="559" t="b">
        <f t="shared" si="9"/>
        <v>0</v>
      </c>
    </row>
    <row r="352" spans="1:10" hidden="1">
      <c r="A352" s="559" t="str">
        <f t="shared" si="8"/>
        <v>Residential_Building Shell_Air Sealing (Electric Heat)_IENetCorrection</v>
      </c>
      <c r="B352" t="s">
        <v>1165</v>
      </c>
      <c r="C352" t="s">
        <v>1169</v>
      </c>
      <c r="D352" t="s">
        <v>1359</v>
      </c>
      <c r="E352" s="562" t="s">
        <v>1376</v>
      </c>
      <c r="F352" s="582">
        <f>IF([18]Dashboard_FS!$K$19="Yes",110%,100%)</f>
        <v>1.1000000000000001</v>
      </c>
      <c r="H352" s="559" t="s">
        <v>1362</v>
      </c>
      <c r="I352" s="559" t="s">
        <v>1363</v>
      </c>
      <c r="J352" s="559" t="b">
        <f t="shared" si="9"/>
        <v>1</v>
      </c>
    </row>
    <row r="353" spans="1:10" hidden="1">
      <c r="A353" s="559" t="str">
        <f t="shared" si="8"/>
        <v>Residential_Building Shell_Air Sealing (Electric Heat)_Delta_kWh_heatingGas</v>
      </c>
      <c r="B353" t="s">
        <v>1165</v>
      </c>
      <c r="C353" t="s">
        <v>1169</v>
      </c>
      <c r="D353" t="s">
        <v>1359</v>
      </c>
      <c r="E353" s="560" t="s">
        <v>1387</v>
      </c>
      <c r="F353" s="566">
        <f xml:space="preserve"> F377 * F349 * F350 * F351 * F352</f>
        <v>0</v>
      </c>
      <c r="H353" s="559" t="s">
        <v>1362</v>
      </c>
      <c r="I353" s="559" t="s">
        <v>1363</v>
      </c>
      <c r="J353" s="559" t="b">
        <f t="shared" si="9"/>
        <v>1</v>
      </c>
    </row>
    <row r="354" spans="1:10" hidden="1">
      <c r="A354" s="559" t="str">
        <f t="shared" si="8"/>
        <v>Residential_Building Shell_Air Sealing (Electric Heat)_Delta_kWh_heatingGas_Mid-Life_Adj</v>
      </c>
      <c r="B354" t="s">
        <v>1165</v>
      </c>
      <c r="C354" t="s">
        <v>1169</v>
      </c>
      <c r="D354" t="s">
        <v>1359</v>
      </c>
      <c r="E354" s="560" t="s">
        <v>1388</v>
      </c>
      <c r="F354" s="566">
        <f xml:space="preserve"> F378 * F349 * F350 * F351 * F352</f>
        <v>0</v>
      </c>
      <c r="H354" s="559" t="s">
        <v>1362</v>
      </c>
      <c r="I354" s="559" t="s">
        <v>1363</v>
      </c>
      <c r="J354" s="559" t="b">
        <f t="shared" si="9"/>
        <v>1</v>
      </c>
    </row>
    <row r="355" spans="1:10" hidden="1">
      <c r="A355" s="559" t="str">
        <f t="shared" si="8"/>
        <v>Residential_Building Shell_Air Sealing (Electric Heat)_FLH_cooling</v>
      </c>
      <c r="B355" t="s">
        <v>1165</v>
      </c>
      <c r="C355" t="s">
        <v>1169</v>
      </c>
      <c r="D355" t="s">
        <v>1359</v>
      </c>
      <c r="E355" s="562" t="s">
        <v>1389</v>
      </c>
      <c r="F355" s="582" t="e">
        <f>INDEX('[18]CZ Inputs'!G:G,MATCH(A355&amp;"_"&amp;[18]Dashboard_EE!$K$3,'[18]CZ Inputs'!A:A,0))</f>
        <v>#N/A</v>
      </c>
      <c r="G355" s="559" t="s">
        <v>1369</v>
      </c>
      <c r="H355" s="559" t="s">
        <v>1362</v>
      </c>
      <c r="I355" s="559" t="s">
        <v>1363</v>
      </c>
      <c r="J355" s="559" t="b">
        <f t="shared" si="9"/>
        <v>1</v>
      </c>
    </row>
    <row r="356" spans="1:10" hidden="1">
      <c r="A356" s="559" t="str">
        <f t="shared" si="8"/>
        <v>Residential_Building Shell_Air Sealing (Electric Heat)_CF</v>
      </c>
      <c r="B356" t="s">
        <v>1165</v>
      </c>
      <c r="C356" t="s">
        <v>1169</v>
      </c>
      <c r="D356" t="s">
        <v>1359</v>
      </c>
      <c r="E356" s="562" t="s">
        <v>1224</v>
      </c>
      <c r="F356" s="572">
        <v>0.68</v>
      </c>
      <c r="G356" s="559" t="s">
        <v>1266</v>
      </c>
      <c r="H356" s="559" t="s">
        <v>1362</v>
      </c>
      <c r="I356" s="559" t="s">
        <v>1363</v>
      </c>
      <c r="J356" s="559" t="b">
        <f t="shared" si="9"/>
        <v>0</v>
      </c>
    </row>
    <row r="357" spans="1:10" hidden="1">
      <c r="A357" s="559" t="str">
        <f t="shared" si="8"/>
        <v>Residential_Building Shell_Air Sealing (Electric Heat)_Delta_kW</v>
      </c>
      <c r="B357" t="s">
        <v>1165</v>
      </c>
      <c r="C357" t="s">
        <v>1169</v>
      </c>
      <c r="D357" t="s">
        <v>1359</v>
      </c>
      <c r="E357" s="560" t="s">
        <v>1226</v>
      </c>
      <c r="F357" s="571" t="e">
        <f>(F334/F355)*F356</f>
        <v>#N/A</v>
      </c>
      <c r="H357" s="559" t="s">
        <v>1362</v>
      </c>
      <c r="I357" s="559" t="s">
        <v>1363</v>
      </c>
      <c r="J357" s="559" t="b">
        <f t="shared" si="9"/>
        <v>1</v>
      </c>
    </row>
    <row r="358" spans="1:10" hidden="1">
      <c r="A358" s="559" t="str">
        <f t="shared" si="8"/>
        <v>Residential_Building Shell_Air Sealing (Electric Heat)_Delta_kW_Mid-Life_Adj</v>
      </c>
      <c r="B358" t="s">
        <v>1165</v>
      </c>
      <c r="C358" t="s">
        <v>1169</v>
      </c>
      <c r="D358" t="s">
        <v>1359</v>
      </c>
      <c r="E358" s="560" t="s">
        <v>1390</v>
      </c>
      <c r="F358" s="571" t="e">
        <f>(F335/F355)*F356</f>
        <v>#N/A</v>
      </c>
      <c r="H358" s="559" t="s">
        <v>1362</v>
      </c>
      <c r="I358" s="559" t="s">
        <v>1363</v>
      </c>
      <c r="J358" s="559" t="b">
        <f t="shared" si="9"/>
        <v>1</v>
      </c>
    </row>
    <row r="359" spans="1:10" hidden="1">
      <c r="A359" s="559" t="str">
        <f t="shared" si="8"/>
        <v>Residential_Building Shell_Air Sealing (Electric Heat)_CFM50_existing</v>
      </c>
      <c r="B359" t="s">
        <v>1165</v>
      </c>
      <c r="C359" t="s">
        <v>1169</v>
      </c>
      <c r="D359" t="s">
        <v>1359</v>
      </c>
      <c r="E359" s="560" t="s">
        <v>1360</v>
      </c>
      <c r="F359" s="571">
        <f>[18]Dashboard_FS!$O$3</f>
        <v>0</v>
      </c>
      <c r="G359" s="559" t="s">
        <v>1361</v>
      </c>
      <c r="H359" s="559" t="s">
        <v>1362</v>
      </c>
      <c r="I359" s="559" t="s">
        <v>1363</v>
      </c>
      <c r="J359" s="559" t="b">
        <f t="shared" si="9"/>
        <v>1</v>
      </c>
    </row>
    <row r="360" spans="1:10" hidden="1">
      <c r="A360" s="559" t="str">
        <f t="shared" si="8"/>
        <v>Residential_Building Shell_Air Sealing (Electric Heat)_CFM50_new</v>
      </c>
      <c r="B360" t="s">
        <v>1165</v>
      </c>
      <c r="C360" t="s">
        <v>1169</v>
      </c>
      <c r="D360" t="s">
        <v>1359</v>
      </c>
      <c r="E360" s="562" t="s">
        <v>1364</v>
      </c>
      <c r="F360" s="572">
        <v>0</v>
      </c>
      <c r="G360" s="559" t="s">
        <v>1365</v>
      </c>
      <c r="H360" s="559" t="s">
        <v>1362</v>
      </c>
      <c r="I360" s="559" t="s">
        <v>1363</v>
      </c>
      <c r="J360" s="559" t="b">
        <f t="shared" si="9"/>
        <v>0</v>
      </c>
    </row>
    <row r="361" spans="1:10" hidden="1">
      <c r="A361" s="559" t="str">
        <f t="shared" si="8"/>
        <v>Residential_Building Shell_Air Sealing (Electric Heat)_N_heat</v>
      </c>
      <c r="B361" t="s">
        <v>1165</v>
      </c>
      <c r="C361" t="s">
        <v>1169</v>
      </c>
      <c r="D361" t="s">
        <v>1359</v>
      </c>
      <c r="E361" s="562" t="s">
        <v>1379</v>
      </c>
      <c r="F361" s="572">
        <v>21.5</v>
      </c>
      <c r="G361" s="559" t="s">
        <v>1367</v>
      </c>
      <c r="H361" s="559" t="s">
        <v>1362</v>
      </c>
      <c r="I361" s="559" t="s">
        <v>1363</v>
      </c>
      <c r="J361" s="559" t="b">
        <f t="shared" si="9"/>
        <v>0</v>
      </c>
    </row>
    <row r="362" spans="1:10" hidden="1">
      <c r="A362" s="559" t="str">
        <f t="shared" si="8"/>
        <v>Residential_Building Shell_Air Sealing (Electric Heat)_60</v>
      </c>
      <c r="B362" t="s">
        <v>1165</v>
      </c>
      <c r="C362" t="s">
        <v>1169</v>
      </c>
      <c r="D362" t="s">
        <v>1359</v>
      </c>
      <c r="E362" s="562">
        <v>60</v>
      </c>
      <c r="F362" s="572">
        <v>60</v>
      </c>
      <c r="H362" s="559" t="s">
        <v>1362</v>
      </c>
      <c r="I362" s="559" t="s">
        <v>1363</v>
      </c>
      <c r="J362" s="559" t="b">
        <f t="shared" si="9"/>
        <v>0</v>
      </c>
    </row>
    <row r="363" spans="1:10" hidden="1">
      <c r="A363" s="559" t="str">
        <f t="shared" si="8"/>
        <v>Residential_Building Shell_Air Sealing (Electric Heat)_24</v>
      </c>
      <c r="B363" t="s">
        <v>1165</v>
      </c>
      <c r="C363" t="s">
        <v>1169</v>
      </c>
      <c r="D363" t="s">
        <v>1359</v>
      </c>
      <c r="E363" s="562">
        <v>24</v>
      </c>
      <c r="F363" s="572">
        <v>24</v>
      </c>
      <c r="H363" s="559" t="s">
        <v>1362</v>
      </c>
      <c r="I363" s="559" t="s">
        <v>1363</v>
      </c>
      <c r="J363" s="559" t="b">
        <f t="shared" si="9"/>
        <v>0</v>
      </c>
    </row>
    <row r="364" spans="1:10" hidden="1">
      <c r="A364" s="559" t="str">
        <f t="shared" si="8"/>
        <v>Residential_Building Shell_Air Sealing (Electric Heat)_HDD</v>
      </c>
      <c r="B364" t="s">
        <v>1165</v>
      </c>
      <c r="C364" t="s">
        <v>1169</v>
      </c>
      <c r="D364" t="s">
        <v>1359</v>
      </c>
      <c r="E364" s="562" t="s">
        <v>1380</v>
      </c>
      <c r="F364" s="582" t="e">
        <f>INDEX('[18]CZ Inputs'!G:G,MATCH(A364&amp;"_"&amp;[18]Dashboard_EE!$K$3,'[18]CZ Inputs'!A:A,0))</f>
        <v>#N/A</v>
      </c>
      <c r="G364" s="559" t="s">
        <v>1369</v>
      </c>
      <c r="H364" s="559" t="s">
        <v>1362</v>
      </c>
      <c r="I364" s="559" t="s">
        <v>1363</v>
      </c>
      <c r="J364" s="559" t="b">
        <f t="shared" si="9"/>
        <v>1</v>
      </c>
    </row>
    <row r="365" spans="1:10" hidden="1">
      <c r="A365" s="559" t="str">
        <f t="shared" si="8"/>
        <v>Residential_Building Shell_Air Sealing (Electric Heat)_0.018</v>
      </c>
      <c r="B365" t="s">
        <v>1165</v>
      </c>
      <c r="C365" t="s">
        <v>1169</v>
      </c>
      <c r="D365" t="s">
        <v>1359</v>
      </c>
      <c r="E365" s="562">
        <v>1.7999999999999999E-2</v>
      </c>
      <c r="F365" s="572">
        <v>1.7999999999999999E-2</v>
      </c>
      <c r="H365" s="559" t="s">
        <v>1362</v>
      </c>
      <c r="I365" s="559" t="s">
        <v>1363</v>
      </c>
      <c r="J365" s="559" t="b">
        <f t="shared" si="9"/>
        <v>0</v>
      </c>
    </row>
    <row r="366" spans="1:10" hidden="1">
      <c r="A366" s="559" t="str">
        <f t="shared" si="8"/>
        <v>Residential_Building Shell_Air Sealing (Electric Heat)_ηHeat</v>
      </c>
      <c r="B366" t="s">
        <v>1165</v>
      </c>
      <c r="C366" t="s">
        <v>1169</v>
      </c>
      <c r="D366" t="s">
        <v>1359</v>
      </c>
      <c r="E366" s="560" t="s">
        <v>1381</v>
      </c>
      <c r="F366" s="571" t="e">
        <f>[18]Dashboard_FS!$K$8</f>
        <v>#REF!</v>
      </c>
      <c r="G366" s="559" t="s">
        <v>1187</v>
      </c>
      <c r="H366" s="559" t="s">
        <v>1362</v>
      </c>
      <c r="I366" s="559" t="s">
        <v>1363</v>
      </c>
      <c r="J366" s="559" t="b">
        <f t="shared" si="9"/>
        <v>1</v>
      </c>
    </row>
    <row r="367" spans="1:10" hidden="1">
      <c r="A367" s="559" t="str">
        <f t="shared" si="8"/>
        <v>Residential_Building Shell_Air Sealing (Electric Heat)_ηHeat_Mid-Life_Adj</v>
      </c>
      <c r="B367" t="s">
        <v>1165</v>
      </c>
      <c r="C367" t="s">
        <v>1169</v>
      </c>
      <c r="D367" t="s">
        <v>1359</v>
      </c>
      <c r="E367" s="560" t="s">
        <v>1382</v>
      </c>
      <c r="F367" s="571" t="e">
        <f>[18]Dashboard_FS!$K$8</f>
        <v>#REF!</v>
      </c>
      <c r="G367" s="559" t="s">
        <v>1187</v>
      </c>
      <c r="H367" s="559" t="s">
        <v>1362</v>
      </c>
      <c r="I367" s="559" t="s">
        <v>1363</v>
      </c>
      <c r="J367" s="559" t="b">
        <f t="shared" si="9"/>
        <v>1</v>
      </c>
    </row>
    <row r="368" spans="1:10" hidden="1">
      <c r="A368" s="559" t="str">
        <f t="shared" si="8"/>
        <v>Residential_Building Shell_Air Sealing (Electric Heat)_100000</v>
      </c>
      <c r="B368" t="s">
        <v>1165</v>
      </c>
      <c r="C368" t="s">
        <v>1169</v>
      </c>
      <c r="D368" t="s">
        <v>1359</v>
      </c>
      <c r="E368" s="562">
        <v>100000</v>
      </c>
      <c r="F368" s="572">
        <v>100000</v>
      </c>
      <c r="H368" s="559" t="s">
        <v>1362</v>
      </c>
      <c r="I368" s="559" t="s">
        <v>1363</v>
      </c>
      <c r="J368" s="559" t="b">
        <f t="shared" si="9"/>
        <v>0</v>
      </c>
    </row>
    <row r="369" spans="1:10" hidden="1">
      <c r="A369" s="559" t="str">
        <f t="shared" si="8"/>
        <v>Residential_Building Shell_Air Sealing (Electric Heat)_ADJAirSealingGasHeat</v>
      </c>
      <c r="B369" t="s">
        <v>1165</v>
      </c>
      <c r="C369" t="s">
        <v>1169</v>
      </c>
      <c r="D369" t="s">
        <v>1359</v>
      </c>
      <c r="E369" s="562" t="s">
        <v>1391</v>
      </c>
      <c r="F369" s="572">
        <v>0.72</v>
      </c>
      <c r="G369" s="559" t="s">
        <v>1375</v>
      </c>
      <c r="H369" s="559" t="s">
        <v>1362</v>
      </c>
      <c r="I369" s="559" t="s">
        <v>1363</v>
      </c>
      <c r="J369" s="559" t="b">
        <f t="shared" si="9"/>
        <v>0</v>
      </c>
    </row>
    <row r="370" spans="1:10" hidden="1">
      <c r="A370" s="559" t="str">
        <f t="shared" si="8"/>
        <v>Residential_Building Shell_Air Sealing (Electric Heat)_IENetCorrection</v>
      </c>
      <c r="B370" t="s">
        <v>1165</v>
      </c>
      <c r="C370" t="s">
        <v>1169</v>
      </c>
      <c r="D370" t="s">
        <v>1359</v>
      </c>
      <c r="E370" s="562" t="s">
        <v>1376</v>
      </c>
      <c r="F370" s="582">
        <f>IF([18]Dashboard_FS!$K$19="Yes",110%,100%)</f>
        <v>1.1000000000000001</v>
      </c>
      <c r="H370" s="559" t="s">
        <v>1362</v>
      </c>
      <c r="I370" s="559" t="s">
        <v>1363</v>
      </c>
      <c r="J370" s="559" t="b">
        <f t="shared" si="9"/>
        <v>1</v>
      </c>
    </row>
    <row r="371" spans="1:10" hidden="1">
      <c r="A371" s="559" t="str">
        <f t="shared" si="8"/>
        <v>Residential_Building Shell_Air Sealing (Electric Heat)_Delta_therms</v>
      </c>
      <c r="B371" t="s">
        <v>1165</v>
      </c>
      <c r="C371" t="s">
        <v>1169</v>
      </c>
      <c r="D371" t="s">
        <v>1359</v>
      </c>
      <c r="E371" s="560" t="s">
        <v>1392</v>
      </c>
      <c r="F371" s="571" t="e">
        <f xml:space="preserve"> (((F359 - F360) / F361) * F362 * F363 * F364 * F365) / (F366 * F368) * F369 * F370</f>
        <v>#N/A</v>
      </c>
      <c r="H371" s="559" t="s">
        <v>1362</v>
      </c>
      <c r="I371" s="559" t="s">
        <v>1363</v>
      </c>
      <c r="J371" s="559" t="b">
        <f t="shared" si="9"/>
        <v>1</v>
      </c>
    </row>
    <row r="372" spans="1:10" hidden="1">
      <c r="A372" s="559" t="str">
        <f t="shared" si="8"/>
        <v>Residential_Building Shell_Air Sealing (Electric Heat)_Delta_therms_Mid-Life_Adj</v>
      </c>
      <c r="B372" t="s">
        <v>1165</v>
      </c>
      <c r="C372" t="s">
        <v>1169</v>
      </c>
      <c r="D372" t="s">
        <v>1359</v>
      </c>
      <c r="E372" s="560" t="s">
        <v>1393</v>
      </c>
      <c r="F372" s="571" t="e">
        <f xml:space="preserve"> (((F359 - F360) / F361) * F362 * F363 * F364 * F365) / (F367 * F368) * F369 * F370</f>
        <v>#N/A</v>
      </c>
      <c r="H372" s="559" t="s">
        <v>1362</v>
      </c>
      <c r="I372" s="559" t="s">
        <v>1363</v>
      </c>
      <c r="J372" s="559" t="b">
        <f t="shared" si="9"/>
        <v>1</v>
      </c>
    </row>
    <row r="373" spans="1:10" hidden="1">
      <c r="A373" s="559" t="str">
        <f t="shared" si="8"/>
        <v>Residential_Building Shell_Air Sealing (Electric Heat)_Remaining Year kWh</v>
      </c>
      <c r="B373" t="s">
        <v>1165</v>
      </c>
      <c r="C373" t="s">
        <v>1169</v>
      </c>
      <c r="D373" t="s">
        <v>1359</v>
      </c>
      <c r="E373" s="568" t="s">
        <v>1394</v>
      </c>
      <c r="F373" s="574" t="e">
        <f>F334+F347+F353</f>
        <v>#N/A</v>
      </c>
      <c r="H373" s="559" t="s">
        <v>1362</v>
      </c>
      <c r="I373" s="559" t="s">
        <v>1363</v>
      </c>
      <c r="J373" s="559" t="b">
        <f t="shared" si="9"/>
        <v>1</v>
      </c>
    </row>
    <row r="374" spans="1:10" hidden="1">
      <c r="A374" s="559" t="str">
        <f t="shared" si="8"/>
        <v>Residential_Building Shell_Air Sealing (Electric Heat)_kWh Saved per Unit</v>
      </c>
      <c r="B374" t="s">
        <v>1165</v>
      </c>
      <c r="C374" t="s">
        <v>1169</v>
      </c>
      <c r="D374" t="s">
        <v>1359</v>
      </c>
      <c r="E374" s="568" t="s">
        <v>1227</v>
      </c>
      <c r="F374" s="574" t="e">
        <f>F335+F348+F354</f>
        <v>#N/A</v>
      </c>
      <c r="H374" s="559" t="s">
        <v>1362</v>
      </c>
      <c r="I374" s="559" t="s">
        <v>1363</v>
      </c>
      <c r="J374" s="559" t="b">
        <f t="shared" si="9"/>
        <v>1</v>
      </c>
    </row>
    <row r="375" spans="1:10" hidden="1">
      <c r="A375" s="559" t="str">
        <f t="shared" si="8"/>
        <v>Residential_Building Shell_Air Sealing (Electric Heat)_Remaining Year kW</v>
      </c>
      <c r="B375" t="s">
        <v>1165</v>
      </c>
      <c r="C375" t="s">
        <v>1169</v>
      </c>
      <c r="D375" t="s">
        <v>1359</v>
      </c>
      <c r="E375" s="568" t="s">
        <v>1395</v>
      </c>
      <c r="F375" s="574" t="e">
        <f>F357</f>
        <v>#N/A</v>
      </c>
      <c r="H375" s="559" t="s">
        <v>1362</v>
      </c>
      <c r="I375" s="559" t="s">
        <v>1363</v>
      </c>
      <c r="J375" s="559" t="b">
        <f t="shared" si="9"/>
        <v>1</v>
      </c>
    </row>
    <row r="376" spans="1:10" hidden="1">
      <c r="A376" s="559" t="str">
        <f t="shared" ref="A376:A439" si="10">B376&amp;"_"&amp;C376&amp;"_"&amp;D376&amp;"_"&amp;E376</f>
        <v>Residential_Building Shell_Air Sealing (Electric Heat)_Coincident Peak kW Saved per Unit</v>
      </c>
      <c r="B376" t="s">
        <v>1165</v>
      </c>
      <c r="C376" t="s">
        <v>1169</v>
      </c>
      <c r="D376" t="s">
        <v>1359</v>
      </c>
      <c r="E376" s="568" t="s">
        <v>1228</v>
      </c>
      <c r="F376" s="574" t="e">
        <f>F358</f>
        <v>#N/A</v>
      </c>
      <c r="H376" s="559" t="s">
        <v>1362</v>
      </c>
      <c r="I376" s="559" t="s">
        <v>1363</v>
      </c>
      <c r="J376" s="559" t="b">
        <f t="shared" si="9"/>
        <v>1</v>
      </c>
    </row>
    <row r="377" spans="1:10" hidden="1">
      <c r="A377" s="559" t="str">
        <f t="shared" si="10"/>
        <v>Residential_Building Shell_Air Sealing (Electric Heat)_Remaining Year Therms</v>
      </c>
      <c r="B377" t="s">
        <v>1165</v>
      </c>
      <c r="C377" t="s">
        <v>1169</v>
      </c>
      <c r="D377" t="s">
        <v>1359</v>
      </c>
      <c r="E377" s="568" t="s">
        <v>1396</v>
      </c>
      <c r="F377" s="574">
        <v>0</v>
      </c>
      <c r="G377" s="559" t="s">
        <v>1383</v>
      </c>
      <c r="H377" s="559" t="s">
        <v>1362</v>
      </c>
      <c r="I377" s="559" t="s">
        <v>1363</v>
      </c>
      <c r="J377" s="559" t="b">
        <f t="shared" si="9"/>
        <v>0</v>
      </c>
    </row>
    <row r="378" spans="1:10" hidden="1">
      <c r="A378" s="559" t="str">
        <f t="shared" si="10"/>
        <v>Residential_Building Shell_Air Sealing (Electric Heat)_Therms Saved per Unit</v>
      </c>
      <c r="B378" t="s">
        <v>1165</v>
      </c>
      <c r="C378" t="s">
        <v>1169</v>
      </c>
      <c r="D378" t="s">
        <v>1359</v>
      </c>
      <c r="E378" s="568" t="s">
        <v>1323</v>
      </c>
      <c r="F378" s="574">
        <v>0</v>
      </c>
      <c r="G378" s="559" t="s">
        <v>1383</v>
      </c>
      <c r="H378" s="559" t="s">
        <v>1362</v>
      </c>
      <c r="I378" s="559" t="s">
        <v>1363</v>
      </c>
      <c r="J378" s="559" t="b">
        <f t="shared" si="9"/>
        <v>0</v>
      </c>
    </row>
    <row r="379" spans="1:10" hidden="1">
      <c r="A379" s="559" t="str">
        <f t="shared" si="10"/>
        <v>Residential_Building Shell_Air Sealing (Electric Heat)_Remaining Life</v>
      </c>
      <c r="B379" t="s">
        <v>1165</v>
      </c>
      <c r="C379" t="s">
        <v>1169</v>
      </c>
      <c r="D379" t="s">
        <v>1359</v>
      </c>
      <c r="E379" s="568" t="s">
        <v>1397</v>
      </c>
      <c r="F379" s="574">
        <v>10</v>
      </c>
      <c r="H379" s="559" t="s">
        <v>1362</v>
      </c>
      <c r="I379" s="559" t="s">
        <v>1363</v>
      </c>
      <c r="J379" s="559" t="b">
        <f t="shared" si="9"/>
        <v>0</v>
      </c>
    </row>
    <row r="380" spans="1:10" hidden="1">
      <c r="A380" s="559" t="str">
        <f t="shared" si="10"/>
        <v>Residential_Building Shell_Air Sealing (Electric Heat)_Lifetime (years)</v>
      </c>
      <c r="B380" t="s">
        <v>1165</v>
      </c>
      <c r="C380" t="s">
        <v>1169</v>
      </c>
      <c r="D380" t="s">
        <v>1359</v>
      </c>
      <c r="E380" s="568" t="s">
        <v>1231</v>
      </c>
      <c r="F380" s="574">
        <v>20</v>
      </c>
      <c r="H380" s="559" t="s">
        <v>1362</v>
      </c>
      <c r="I380" s="559" t="s">
        <v>1363</v>
      </c>
      <c r="J380" s="559" t="b">
        <f t="shared" si="9"/>
        <v>0</v>
      </c>
    </row>
    <row r="381" spans="1:10" hidden="1">
      <c r="A381" s="559" t="str">
        <f t="shared" si="10"/>
        <v>Residential_Building Shell_Air Sealing (Electric Heat)_Incremental Cost</v>
      </c>
      <c r="B381" t="s">
        <v>1165</v>
      </c>
      <c r="C381" t="s">
        <v>1169</v>
      </c>
      <c r="D381" t="s">
        <v>1359</v>
      </c>
      <c r="E381" s="568" t="s">
        <v>1232</v>
      </c>
      <c r="F381" s="570">
        <f>0.35*F319</f>
        <v>0</v>
      </c>
      <c r="G381" s="559" t="s">
        <v>1398</v>
      </c>
      <c r="H381" s="559" t="s">
        <v>1362</v>
      </c>
      <c r="I381" s="559" t="s">
        <v>1363</v>
      </c>
      <c r="J381" s="559" t="b">
        <f t="shared" si="9"/>
        <v>1</v>
      </c>
    </row>
    <row r="382" spans="1:10" hidden="1">
      <c r="A382" s="559" t="str">
        <f t="shared" si="10"/>
        <v>Residential_Building Shell_Air Sealing (Electric Heat)_BTU Impact_Existing_Fossil Fuel</v>
      </c>
      <c r="B382" t="s">
        <v>1165</v>
      </c>
      <c r="C382" t="s">
        <v>1169</v>
      </c>
      <c r="D382" t="s">
        <v>1359</v>
      </c>
      <c r="E382" s="568" t="s">
        <v>1234</v>
      </c>
      <c r="F382" s="569">
        <v>0</v>
      </c>
      <c r="H382" s="559" t="s">
        <v>1362</v>
      </c>
      <c r="I382" s="559" t="s">
        <v>1363</v>
      </c>
      <c r="J382" s="559" t="b">
        <f t="shared" si="9"/>
        <v>0</v>
      </c>
    </row>
    <row r="383" spans="1:10" hidden="1">
      <c r="A383" s="559" t="str">
        <f t="shared" si="10"/>
        <v>Residential_Building Shell_Air Sealing (Electric Heat)_BTU Impact_Existing_Winter Electricity</v>
      </c>
      <c r="B383" t="s">
        <v>1165</v>
      </c>
      <c r="C383" t="s">
        <v>1169</v>
      </c>
      <c r="D383" t="s">
        <v>1359</v>
      </c>
      <c r="E383" s="568" t="s">
        <v>1235</v>
      </c>
      <c r="F383" s="569">
        <v>0</v>
      </c>
      <c r="H383" s="559" t="s">
        <v>1362</v>
      </c>
      <c r="I383" s="559" t="s">
        <v>1363</v>
      </c>
      <c r="J383" s="559" t="b">
        <f t="shared" si="9"/>
        <v>0</v>
      </c>
    </row>
    <row r="384" spans="1:10" hidden="1">
      <c r="A384" s="559" t="str">
        <f t="shared" si="10"/>
        <v>Residential_Building Shell_Air Sealing (Electric Heat)_BTU Impact_Existing_Summer Electricity</v>
      </c>
      <c r="B384" t="s">
        <v>1165</v>
      </c>
      <c r="C384" t="s">
        <v>1169</v>
      </c>
      <c r="D384" t="s">
        <v>1359</v>
      </c>
      <c r="E384" s="568" t="s">
        <v>1236</v>
      </c>
      <c r="F384" s="569">
        <v>0</v>
      </c>
      <c r="H384" s="559" t="s">
        <v>1362</v>
      </c>
      <c r="I384" s="559" t="s">
        <v>1363</v>
      </c>
      <c r="J384" s="559" t="b">
        <f t="shared" si="9"/>
        <v>0</v>
      </c>
    </row>
    <row r="385" spans="1:10" hidden="1">
      <c r="A385" s="559" t="str">
        <f t="shared" si="10"/>
        <v>Residential_Building Shell_Air Sealing (Electric Heat)_BTU Impact_New_Fossil Fuel</v>
      </c>
      <c r="B385" t="s">
        <v>1165</v>
      </c>
      <c r="C385" t="s">
        <v>1169</v>
      </c>
      <c r="D385" t="s">
        <v>1359</v>
      </c>
      <c r="E385" s="568" t="s">
        <v>1237</v>
      </c>
      <c r="F385" s="569">
        <v>0</v>
      </c>
      <c r="H385" s="559" t="s">
        <v>1362</v>
      </c>
      <c r="I385" s="559" t="s">
        <v>1363</v>
      </c>
      <c r="J385" s="559" t="b">
        <f t="shared" si="9"/>
        <v>0</v>
      </c>
    </row>
    <row r="386" spans="1:10" hidden="1">
      <c r="A386" s="559" t="str">
        <f t="shared" si="10"/>
        <v>Residential_Building Shell_Air Sealing (Electric Heat)_BTU Impact_New_Winter Electricity</v>
      </c>
      <c r="B386" t="s">
        <v>1165</v>
      </c>
      <c r="C386" t="s">
        <v>1169</v>
      </c>
      <c r="D386" t="s">
        <v>1359</v>
      </c>
      <c r="E386" s="568" t="s">
        <v>1238</v>
      </c>
      <c r="F386" s="569" t="e">
        <f>-F347*3412</f>
        <v>#N/A</v>
      </c>
      <c r="H386" s="559" t="s">
        <v>1362</v>
      </c>
      <c r="I386" s="559" t="s">
        <v>1363</v>
      </c>
      <c r="J386" s="559" t="b">
        <f t="shared" si="9"/>
        <v>1</v>
      </c>
    </row>
    <row r="387" spans="1:10" hidden="1">
      <c r="A387" s="559" t="str">
        <f t="shared" si="10"/>
        <v>Residential_Building Shell_Air Sealing (Electric Heat)_BTU Impact_New_Summer Electricity</v>
      </c>
      <c r="B387" t="s">
        <v>1165</v>
      </c>
      <c r="C387" t="s">
        <v>1169</v>
      </c>
      <c r="D387" t="s">
        <v>1359</v>
      </c>
      <c r="E387" s="568" t="s">
        <v>1239</v>
      </c>
      <c r="F387" s="569" t="e">
        <f>-F334*3412</f>
        <v>#N/A</v>
      </c>
      <c r="H387" s="559" t="s">
        <v>1362</v>
      </c>
      <c r="I387" s="559" t="s">
        <v>1363</v>
      </c>
      <c r="J387" s="559" t="b">
        <f t="shared" si="9"/>
        <v>1</v>
      </c>
    </row>
    <row r="388" spans="1:10" hidden="1">
      <c r="A388" s="559" t="str">
        <f t="shared" si="10"/>
        <v>Residential_Building Shell_Air Sealing (Electric Heat)_</v>
      </c>
      <c r="B388" t="s">
        <v>1165</v>
      </c>
      <c r="C388" t="s">
        <v>1169</v>
      </c>
      <c r="D388" t="s">
        <v>1359</v>
      </c>
      <c r="H388" s="559" t="s">
        <v>1362</v>
      </c>
      <c r="I388" s="559" t="s">
        <v>1363</v>
      </c>
      <c r="J388" s="559" t="b">
        <f t="shared" si="9"/>
        <v>0</v>
      </c>
    </row>
    <row r="389" spans="1:10" hidden="1">
      <c r="A389" s="559" t="str">
        <f t="shared" si="10"/>
        <v>Residential_Building Shell_Ceiling/Attic Insulation #1 (Electric Heat)_R_old</v>
      </c>
      <c r="B389" t="s">
        <v>1165</v>
      </c>
      <c r="C389" t="s">
        <v>1169</v>
      </c>
      <c r="D389" t="s">
        <v>1399</v>
      </c>
      <c r="E389" s="562" t="s">
        <v>1400</v>
      </c>
      <c r="F389" s="572">
        <f>[18]Dashboard_FS!$O$15</f>
        <v>0</v>
      </c>
      <c r="G389" s="559" t="s">
        <v>1187</v>
      </c>
      <c r="H389" s="559" t="s">
        <v>1401</v>
      </c>
      <c r="I389" s="559" t="s">
        <v>1402</v>
      </c>
      <c r="J389" s="559" t="b">
        <f t="shared" si="9"/>
        <v>1</v>
      </c>
    </row>
    <row r="390" spans="1:10" hidden="1">
      <c r="A390" s="559" t="str">
        <f t="shared" si="10"/>
        <v>Residential_Building Shell_Ceiling/Attic Insulation #1 (Electric Heat)_R_attic</v>
      </c>
      <c r="B390" t="s">
        <v>1165</v>
      </c>
      <c r="C390" t="s">
        <v>1169</v>
      </c>
      <c r="D390" t="s">
        <v>1399</v>
      </c>
      <c r="E390" s="562" t="s">
        <v>1403</v>
      </c>
      <c r="F390" s="572">
        <f>[18]Dashboard_FS!$P$15</f>
        <v>0</v>
      </c>
      <c r="G390" s="559" t="s">
        <v>1187</v>
      </c>
      <c r="H390" s="559" t="s">
        <v>1401</v>
      </c>
      <c r="I390" s="559" t="s">
        <v>1402</v>
      </c>
      <c r="J390" s="559" t="b">
        <f t="shared" si="9"/>
        <v>1</v>
      </c>
    </row>
    <row r="391" spans="1:10" hidden="1">
      <c r="A391" s="559" t="str">
        <f t="shared" si="10"/>
        <v>Residential_Building Shell_Ceiling/Attic Insulation #1 (Electric Heat)_A_attic</v>
      </c>
      <c r="B391" t="s">
        <v>1165</v>
      </c>
      <c r="C391" t="s">
        <v>1169</v>
      </c>
      <c r="D391" t="s">
        <v>1399</v>
      </c>
      <c r="E391" s="560" t="s">
        <v>1404</v>
      </c>
      <c r="F391" s="571">
        <f>[18]Dashboard_FS!$O$4</f>
        <v>0</v>
      </c>
      <c r="G391" s="559" t="s">
        <v>1187</v>
      </c>
      <c r="H391" s="559" t="s">
        <v>1401</v>
      </c>
      <c r="I391" s="559" t="s">
        <v>1402</v>
      </c>
      <c r="J391" s="559" t="b">
        <f t="shared" si="9"/>
        <v>1</v>
      </c>
    </row>
    <row r="392" spans="1:10" hidden="1">
      <c r="A392" s="559" t="str">
        <f t="shared" si="10"/>
        <v>Residential_Building Shell_Ceiling/Attic Insulation #1 (Electric Heat)_Framing_factor_attic</v>
      </c>
      <c r="B392" t="s">
        <v>1165</v>
      </c>
      <c r="C392" t="s">
        <v>1169</v>
      </c>
      <c r="D392" t="s">
        <v>1399</v>
      </c>
      <c r="E392" s="562" t="s">
        <v>1405</v>
      </c>
      <c r="F392" s="572">
        <v>7.0000000000000007E-2</v>
      </c>
      <c r="H392" s="559" t="s">
        <v>1401</v>
      </c>
      <c r="I392" s="559" t="s">
        <v>1402</v>
      </c>
      <c r="J392" s="559" t="b">
        <f t="shared" ref="J392:J646" si="11">_xlfn.ISFORMULA(F392)</f>
        <v>0</v>
      </c>
    </row>
    <row r="393" spans="1:10" hidden="1">
      <c r="A393" s="559" t="str">
        <f t="shared" si="10"/>
        <v>Residential_Building Shell_Ceiling/Attic Insulation #1 (Electric Heat)_24</v>
      </c>
      <c r="B393" t="s">
        <v>1165</v>
      </c>
      <c r="C393" t="s">
        <v>1169</v>
      </c>
      <c r="D393" t="s">
        <v>1399</v>
      </c>
      <c r="E393" s="562">
        <v>24</v>
      </c>
      <c r="F393" s="572">
        <v>24</v>
      </c>
      <c r="H393" s="559" t="s">
        <v>1401</v>
      </c>
      <c r="I393" s="559" t="s">
        <v>1402</v>
      </c>
      <c r="J393" s="559" t="b">
        <f t="shared" si="11"/>
        <v>0</v>
      </c>
    </row>
    <row r="394" spans="1:10" hidden="1">
      <c r="A394" s="559" t="str">
        <f t="shared" si="10"/>
        <v>Residential_Building Shell_Ceiling/Attic Insulation #1 (Electric Heat)_CDD</v>
      </c>
      <c r="B394" t="s">
        <v>1165</v>
      </c>
      <c r="C394" t="s">
        <v>1169</v>
      </c>
      <c r="D394" t="s">
        <v>1399</v>
      </c>
      <c r="E394" s="562" t="s">
        <v>1368</v>
      </c>
      <c r="F394" s="582" t="e">
        <f>INDEX('[18]CZ Inputs'!G:G,MATCH(A394&amp;"_"&amp;[18]Dashboard_EE!$K$3,'[18]CZ Inputs'!A:A,0))</f>
        <v>#N/A</v>
      </c>
      <c r="G394" s="559" t="s">
        <v>1369</v>
      </c>
      <c r="H394" s="559" t="s">
        <v>1401</v>
      </c>
      <c r="I394" s="559" t="s">
        <v>1402</v>
      </c>
      <c r="J394" s="559" t="b">
        <f t="shared" si="11"/>
        <v>1</v>
      </c>
    </row>
    <row r="395" spans="1:10" hidden="1">
      <c r="A395" s="559" t="str">
        <f t="shared" si="10"/>
        <v>Residential_Building Shell_Ceiling/Attic Insulation #1 (Electric Heat)_DUA</v>
      </c>
      <c r="B395" t="s">
        <v>1165</v>
      </c>
      <c r="C395" t="s">
        <v>1169</v>
      </c>
      <c r="D395" t="s">
        <v>1399</v>
      </c>
      <c r="E395" s="562" t="s">
        <v>1370</v>
      </c>
      <c r="F395" s="572">
        <v>0.75</v>
      </c>
      <c r="H395" s="559" t="s">
        <v>1401</v>
      </c>
      <c r="I395" s="559" t="s">
        <v>1402</v>
      </c>
      <c r="J395" s="559" t="b">
        <f t="shared" si="11"/>
        <v>0</v>
      </c>
    </row>
    <row r="396" spans="1:10" hidden="1">
      <c r="A396" s="559" t="str">
        <f t="shared" si="10"/>
        <v>Residential_Building Shell_Ceiling/Attic Insulation #1 (Electric Heat)_1000</v>
      </c>
      <c r="B396" t="s">
        <v>1165</v>
      </c>
      <c r="C396" t="s">
        <v>1169</v>
      </c>
      <c r="D396" t="s">
        <v>1399</v>
      </c>
      <c r="E396" s="562">
        <v>1000</v>
      </c>
      <c r="F396" s="572">
        <v>1000</v>
      </c>
      <c r="H396" s="559" t="s">
        <v>1401</v>
      </c>
      <c r="I396" s="559" t="s">
        <v>1402</v>
      </c>
      <c r="J396" s="559" t="b">
        <f t="shared" si="11"/>
        <v>0</v>
      </c>
    </row>
    <row r="397" spans="1:10" hidden="1">
      <c r="A397" s="559" t="str">
        <f t="shared" si="10"/>
        <v>Residential_Building Shell_Ceiling/Attic Insulation #1 (Electric Heat)_ηCool</v>
      </c>
      <c r="B397" t="s">
        <v>1165</v>
      </c>
      <c r="C397" t="s">
        <v>1169</v>
      </c>
      <c r="D397" t="s">
        <v>1399</v>
      </c>
      <c r="E397" s="560" t="s">
        <v>1371</v>
      </c>
      <c r="F397" s="571" t="e">
        <f>[18]Dashboard_FS!$K$13</f>
        <v>#REF!</v>
      </c>
      <c r="G397" s="559" t="s">
        <v>1187</v>
      </c>
      <c r="H397" s="559" t="s">
        <v>1401</v>
      </c>
      <c r="I397" s="559" t="s">
        <v>1402</v>
      </c>
      <c r="J397" s="559" t="b">
        <f t="shared" si="11"/>
        <v>1</v>
      </c>
    </row>
    <row r="398" spans="1:10" hidden="1">
      <c r="A398" s="559" t="str">
        <f t="shared" si="10"/>
        <v>Residential_Building Shell_Ceiling/Attic Insulation #1 (Electric Heat)_ηCool_Mid-Life_Adj</v>
      </c>
      <c r="B398" t="s">
        <v>1165</v>
      </c>
      <c r="C398" t="s">
        <v>1169</v>
      </c>
      <c r="D398" t="s">
        <v>1399</v>
      </c>
      <c r="E398" s="560" t="s">
        <v>1372</v>
      </c>
      <c r="F398" s="571" t="e">
        <f>[18]Dashboard_FS!$K$13</f>
        <v>#REF!</v>
      </c>
      <c r="G398" s="559" t="s">
        <v>1187</v>
      </c>
      <c r="H398" s="559" t="s">
        <v>1401</v>
      </c>
      <c r="I398" s="559" t="s">
        <v>1402</v>
      </c>
      <c r="J398" s="559" t="b">
        <f t="shared" si="11"/>
        <v>1</v>
      </c>
    </row>
    <row r="399" spans="1:10" hidden="1">
      <c r="A399" s="559" t="str">
        <f t="shared" si="10"/>
        <v>Residential_Building Shell_Ceiling/Attic Insulation #1 (Electric Heat)_ADJAtticCool</v>
      </c>
      <c r="B399" t="s">
        <v>1165</v>
      </c>
      <c r="C399" t="s">
        <v>1169</v>
      </c>
      <c r="D399" t="s">
        <v>1399</v>
      </c>
      <c r="E399" s="562" t="s">
        <v>1406</v>
      </c>
      <c r="F399" s="582">
        <v>1.1399999999999999</v>
      </c>
      <c r="H399" s="559" t="s">
        <v>1401</v>
      </c>
      <c r="I399" s="559" t="s">
        <v>1402</v>
      </c>
      <c r="J399" s="559" t="b">
        <f t="shared" si="11"/>
        <v>0</v>
      </c>
    </row>
    <row r="400" spans="1:10" hidden="1">
      <c r="A400" s="559" t="str">
        <f t="shared" si="10"/>
        <v>Residential_Building Shell_Ceiling/Attic Insulation #1 (Electric Heat)_IENetCorrection</v>
      </c>
      <c r="B400" t="s">
        <v>1165</v>
      </c>
      <c r="C400" t="s">
        <v>1169</v>
      </c>
      <c r="D400" t="s">
        <v>1399</v>
      </c>
      <c r="E400" s="562" t="s">
        <v>1376</v>
      </c>
      <c r="F400" s="572">
        <f>IF([18]Dashboard_FS!$K$19="Yes",110%,100%)</f>
        <v>1.1000000000000001</v>
      </c>
      <c r="H400" s="559" t="s">
        <v>1401</v>
      </c>
      <c r="I400" s="559" t="s">
        <v>1402</v>
      </c>
      <c r="J400" s="559" t="b">
        <f t="shared" si="11"/>
        <v>1</v>
      </c>
    </row>
    <row r="401" spans="1:10" hidden="1">
      <c r="A401" s="559" t="str">
        <f t="shared" si="10"/>
        <v>Residential_Building Shell_Ceiling/Attic Insulation #1 (Electric Heat)_%Cool</v>
      </c>
      <c r="B401" t="s">
        <v>1165</v>
      </c>
      <c r="C401" t="s">
        <v>1169</v>
      </c>
      <c r="D401" t="s">
        <v>1399</v>
      </c>
      <c r="E401" s="562" t="s">
        <v>1344</v>
      </c>
      <c r="F401" s="572">
        <v>1</v>
      </c>
      <c r="H401" s="559" t="s">
        <v>1401</v>
      </c>
      <c r="I401" s="559" t="s">
        <v>1402</v>
      </c>
      <c r="J401" s="559" t="b">
        <f t="shared" si="11"/>
        <v>0</v>
      </c>
    </row>
    <row r="402" spans="1:10" hidden="1">
      <c r="A402" s="559" t="str">
        <f t="shared" si="10"/>
        <v>Residential_Building Shell_Ceiling/Attic Insulation #1 (Electric Heat)_Delta_kWh_cooling</v>
      </c>
      <c r="B402" t="s">
        <v>1165</v>
      </c>
      <c r="C402" t="s">
        <v>1169</v>
      </c>
      <c r="D402" t="s">
        <v>1399</v>
      </c>
      <c r="E402" s="560" t="s">
        <v>1377</v>
      </c>
      <c r="F402" s="571" t="e">
        <f>((((1/ F389 - 1/ F390) * F391 * (1 - F392)) * F393 * F394 * F395) / (F396 * F397)) * F399 * F400 * F401</f>
        <v>#DIV/0!</v>
      </c>
      <c r="H402" s="559" t="s">
        <v>1401</v>
      </c>
      <c r="I402" s="559" t="s">
        <v>1402</v>
      </c>
      <c r="J402" s="559" t="b">
        <f t="shared" si="11"/>
        <v>1</v>
      </c>
    </row>
    <row r="403" spans="1:10" hidden="1">
      <c r="A403" s="559" t="str">
        <f t="shared" si="10"/>
        <v>Residential_Building Shell_Ceiling/Attic Insulation #1 (Electric Heat)_Delta_kWh_cooling_Mid-Life_Adj</v>
      </c>
      <c r="B403" t="s">
        <v>1165</v>
      </c>
      <c r="C403" t="s">
        <v>1169</v>
      </c>
      <c r="D403" t="s">
        <v>1399</v>
      </c>
      <c r="E403" s="560" t="s">
        <v>1378</v>
      </c>
      <c r="F403" s="571" t="e">
        <f>((((1/ F389 - 1/ F390) * F391 * (1 - F392)) * F393 * F394 * F395) / (F396 * F398)) * F399 * F400 * F401</f>
        <v>#DIV/0!</v>
      </c>
      <c r="H403" s="559" t="s">
        <v>1401</v>
      </c>
      <c r="I403" s="559" t="s">
        <v>1402</v>
      </c>
      <c r="J403" s="559" t="b">
        <f t="shared" si="11"/>
        <v>1</v>
      </c>
    </row>
    <row r="404" spans="1:10" hidden="1">
      <c r="A404" s="559" t="str">
        <f t="shared" si="10"/>
        <v>Residential_Building Shell_Ceiling/Attic Insulation #1 (Electric Heat)_R_old</v>
      </c>
      <c r="B404" t="s">
        <v>1165</v>
      </c>
      <c r="C404" t="s">
        <v>1169</v>
      </c>
      <c r="D404" t="s">
        <v>1399</v>
      </c>
      <c r="E404" s="562" t="s">
        <v>1400</v>
      </c>
      <c r="F404" s="572">
        <f>[18]Dashboard_FS!$O$15</f>
        <v>0</v>
      </c>
      <c r="G404" s="559" t="s">
        <v>1187</v>
      </c>
      <c r="H404" s="559" t="s">
        <v>1401</v>
      </c>
      <c r="I404" s="559" t="s">
        <v>1402</v>
      </c>
      <c r="J404" s="559" t="b">
        <f t="shared" si="11"/>
        <v>1</v>
      </c>
    </row>
    <row r="405" spans="1:10" hidden="1">
      <c r="A405" s="559" t="str">
        <f t="shared" si="10"/>
        <v>Residential_Building Shell_Ceiling/Attic Insulation #1 (Electric Heat)_R_attic</v>
      </c>
      <c r="B405" t="s">
        <v>1165</v>
      </c>
      <c r="C405" t="s">
        <v>1169</v>
      </c>
      <c r="D405" t="s">
        <v>1399</v>
      </c>
      <c r="E405" s="562" t="s">
        <v>1403</v>
      </c>
      <c r="F405" s="572">
        <f>[18]Dashboard_FS!$P$15</f>
        <v>0</v>
      </c>
      <c r="G405" s="559" t="s">
        <v>1187</v>
      </c>
      <c r="H405" s="559" t="s">
        <v>1401</v>
      </c>
      <c r="I405" s="559" t="s">
        <v>1402</v>
      </c>
      <c r="J405" s="559" t="b">
        <f t="shared" si="11"/>
        <v>1</v>
      </c>
    </row>
    <row r="406" spans="1:10" hidden="1">
      <c r="A406" s="559" t="str">
        <f t="shared" si="10"/>
        <v>Residential_Building Shell_Ceiling/Attic Insulation #1 (Electric Heat)_A_attic</v>
      </c>
      <c r="B406" t="s">
        <v>1165</v>
      </c>
      <c r="C406" t="s">
        <v>1169</v>
      </c>
      <c r="D406" t="s">
        <v>1399</v>
      </c>
      <c r="E406" s="560" t="s">
        <v>1404</v>
      </c>
      <c r="F406" s="571">
        <f>[18]Dashboard_FS!$O$4</f>
        <v>0</v>
      </c>
      <c r="G406" s="559" t="s">
        <v>1187</v>
      </c>
      <c r="H406" s="559" t="s">
        <v>1401</v>
      </c>
      <c r="I406" s="559" t="s">
        <v>1402</v>
      </c>
      <c r="J406" s="559" t="b">
        <f t="shared" si="11"/>
        <v>1</v>
      </c>
    </row>
    <row r="407" spans="1:10" hidden="1">
      <c r="A407" s="559" t="str">
        <f t="shared" si="10"/>
        <v>Residential_Building Shell_Ceiling/Attic Insulation #1 (Electric Heat)_Framing_factor_attic</v>
      </c>
      <c r="B407" t="s">
        <v>1165</v>
      </c>
      <c r="C407" t="s">
        <v>1169</v>
      </c>
      <c r="D407" t="s">
        <v>1399</v>
      </c>
      <c r="E407" s="562" t="s">
        <v>1405</v>
      </c>
      <c r="F407" s="572">
        <v>7.0000000000000007E-2</v>
      </c>
      <c r="H407" s="559" t="s">
        <v>1401</v>
      </c>
      <c r="I407" s="559" t="s">
        <v>1402</v>
      </c>
      <c r="J407" s="559" t="b">
        <f t="shared" si="11"/>
        <v>0</v>
      </c>
    </row>
    <row r="408" spans="1:10" hidden="1">
      <c r="A408" s="559" t="str">
        <f t="shared" si="10"/>
        <v>Residential_Building Shell_Ceiling/Attic Insulation #1 (Electric Heat)_24</v>
      </c>
      <c r="B408" t="s">
        <v>1165</v>
      </c>
      <c r="C408" t="s">
        <v>1169</v>
      </c>
      <c r="D408" t="s">
        <v>1399</v>
      </c>
      <c r="E408" s="562">
        <v>24</v>
      </c>
      <c r="F408" s="572">
        <v>24</v>
      </c>
      <c r="H408" s="559" t="s">
        <v>1401</v>
      </c>
      <c r="I408" s="559" t="s">
        <v>1402</v>
      </c>
      <c r="J408" s="559" t="b">
        <f t="shared" si="11"/>
        <v>0</v>
      </c>
    </row>
    <row r="409" spans="1:10" hidden="1">
      <c r="A409" s="559" t="str">
        <f t="shared" si="10"/>
        <v>Residential_Building Shell_Ceiling/Attic Insulation #1 (Electric Heat)_HDD</v>
      </c>
      <c r="B409" t="s">
        <v>1165</v>
      </c>
      <c r="C409" t="s">
        <v>1169</v>
      </c>
      <c r="D409" t="s">
        <v>1399</v>
      </c>
      <c r="E409" s="562" t="s">
        <v>1380</v>
      </c>
      <c r="F409" s="582" t="e">
        <f>INDEX('[18]CZ Inputs'!G:G,MATCH(A409&amp;"_"&amp;[18]Dashboard_EE!$K$3,'[18]CZ Inputs'!A:A,0))</f>
        <v>#N/A</v>
      </c>
      <c r="G409" s="559" t="s">
        <v>1369</v>
      </c>
      <c r="H409" s="559" t="s">
        <v>1401</v>
      </c>
      <c r="I409" s="559" t="s">
        <v>1402</v>
      </c>
      <c r="J409" s="559" t="b">
        <f t="shared" si="11"/>
        <v>1</v>
      </c>
    </row>
    <row r="410" spans="1:10" hidden="1">
      <c r="A410" s="559" t="str">
        <f t="shared" si="10"/>
        <v>Residential_Building Shell_Ceiling/Attic Insulation #1 (Electric Heat)_ηHeat</v>
      </c>
      <c r="B410" t="s">
        <v>1165</v>
      </c>
      <c r="C410" t="s">
        <v>1169</v>
      </c>
      <c r="D410" t="s">
        <v>1399</v>
      </c>
      <c r="E410" s="560" t="s">
        <v>1381</v>
      </c>
      <c r="F410" s="571" t="e">
        <f>[18]Dashboard_FS!$K$6</f>
        <v>#REF!</v>
      </c>
      <c r="G410" s="559" t="s">
        <v>1187</v>
      </c>
      <c r="H410" s="559" t="s">
        <v>1401</v>
      </c>
      <c r="I410" s="559" t="s">
        <v>1402</v>
      </c>
      <c r="J410" s="559" t="b">
        <f t="shared" si="11"/>
        <v>1</v>
      </c>
    </row>
    <row r="411" spans="1:10" hidden="1">
      <c r="A411" s="559" t="str">
        <f t="shared" si="10"/>
        <v>Residential_Building Shell_Ceiling/Attic Insulation #1 (Electric Heat)_ηHeat_Mid-Life_Adj</v>
      </c>
      <c r="B411" t="s">
        <v>1165</v>
      </c>
      <c r="C411" t="s">
        <v>1169</v>
      </c>
      <c r="D411" t="s">
        <v>1399</v>
      </c>
      <c r="E411" s="560" t="s">
        <v>1382</v>
      </c>
      <c r="F411" s="571" t="e">
        <f>[18]Dashboard_FS!$K$6</f>
        <v>#REF!</v>
      </c>
      <c r="G411" s="559" t="s">
        <v>1187</v>
      </c>
      <c r="H411" s="559" t="s">
        <v>1401</v>
      </c>
      <c r="I411" s="559" t="s">
        <v>1402</v>
      </c>
      <c r="J411" s="559" t="b">
        <f t="shared" si="11"/>
        <v>1</v>
      </c>
    </row>
    <row r="412" spans="1:10" hidden="1">
      <c r="A412" s="559" t="str">
        <f t="shared" si="10"/>
        <v>Residential_Building Shell_Ceiling/Attic Insulation #1 (Electric Heat)_3412</v>
      </c>
      <c r="B412" t="s">
        <v>1165</v>
      </c>
      <c r="C412" t="s">
        <v>1169</v>
      </c>
      <c r="D412" t="s">
        <v>1399</v>
      </c>
      <c r="E412" s="562">
        <v>3412</v>
      </c>
      <c r="F412" s="572">
        <v>3412</v>
      </c>
      <c r="H412" s="559" t="s">
        <v>1401</v>
      </c>
      <c r="I412" s="559" t="s">
        <v>1402</v>
      </c>
      <c r="J412" s="559" t="b">
        <f t="shared" si="11"/>
        <v>0</v>
      </c>
    </row>
    <row r="413" spans="1:10" hidden="1">
      <c r="A413" s="559" t="str">
        <f t="shared" si="10"/>
        <v>Residential_Building Shell_Ceiling/Attic Insulation #1 (Electric Heat)_ADJAtticElectricHeat</v>
      </c>
      <c r="B413" t="s">
        <v>1165</v>
      </c>
      <c r="C413" t="s">
        <v>1169</v>
      </c>
      <c r="D413" t="s">
        <v>1399</v>
      </c>
      <c r="E413" s="562" t="s">
        <v>1407</v>
      </c>
      <c r="F413" s="582">
        <v>0.63</v>
      </c>
      <c r="H413" s="559" t="s">
        <v>1401</v>
      </c>
      <c r="I413" s="559" t="s">
        <v>1402</v>
      </c>
      <c r="J413" s="559" t="b">
        <f t="shared" si="11"/>
        <v>0</v>
      </c>
    </row>
    <row r="414" spans="1:10" hidden="1">
      <c r="A414" s="559" t="str">
        <f t="shared" si="10"/>
        <v>Residential_Building Shell_Ceiling/Attic Insulation #1 (Electric Heat)_%ElectricHeat</v>
      </c>
      <c r="B414" t="s">
        <v>1165</v>
      </c>
      <c r="C414" t="s">
        <v>1169</v>
      </c>
      <c r="D414" t="s">
        <v>1399</v>
      </c>
      <c r="E414" s="562" t="s">
        <v>1349</v>
      </c>
      <c r="F414" s="572">
        <v>1</v>
      </c>
      <c r="G414" s="559" t="s">
        <v>1383</v>
      </c>
      <c r="H414" s="559" t="s">
        <v>1401</v>
      </c>
      <c r="I414" s="559" t="s">
        <v>1402</v>
      </c>
      <c r="J414" s="559" t="b">
        <f t="shared" si="11"/>
        <v>0</v>
      </c>
    </row>
    <row r="415" spans="1:10" hidden="1">
      <c r="A415" s="559" t="str">
        <f t="shared" si="10"/>
        <v>Residential_Building Shell_Ceiling/Attic Insulation #1 (Electric Heat)_Delta_kWh_heatingElectric</v>
      </c>
      <c r="B415" t="s">
        <v>1165</v>
      </c>
      <c r="C415" t="s">
        <v>1169</v>
      </c>
      <c r="D415" t="s">
        <v>1399</v>
      </c>
      <c r="E415" s="560" t="s">
        <v>1384</v>
      </c>
      <c r="F415" s="571" t="e">
        <f>((((1/ F404 - 1/ F405) * F406 * (1 - F407)) * F408 * F409) / (F410 * F412)) * F413 * F414</f>
        <v>#DIV/0!</v>
      </c>
      <c r="H415" s="559" t="s">
        <v>1401</v>
      </c>
      <c r="I415" s="559" t="s">
        <v>1402</v>
      </c>
      <c r="J415" s="559" t="b">
        <f t="shared" si="11"/>
        <v>1</v>
      </c>
    </row>
    <row r="416" spans="1:10" hidden="1">
      <c r="A416" s="559" t="str">
        <f t="shared" si="10"/>
        <v>Residential_Building Shell_Ceiling/Attic Insulation #1 (Electric Heat)_Delta_kWh_heatingElectric_Mid-Life_Adj</v>
      </c>
      <c r="B416" t="s">
        <v>1165</v>
      </c>
      <c r="C416" t="s">
        <v>1169</v>
      </c>
      <c r="D416" t="s">
        <v>1399</v>
      </c>
      <c r="E416" s="560" t="s">
        <v>1385</v>
      </c>
      <c r="F416" s="571" t="e">
        <f>((((1/ F404 - 1/ F405) * F406 * (1 - F407)) * F408 * F409) / (F411 * F412)) * F413 * F414</f>
        <v>#DIV/0!</v>
      </c>
      <c r="H416" s="559" t="s">
        <v>1401</v>
      </c>
      <c r="I416" s="559" t="s">
        <v>1402</v>
      </c>
      <c r="J416" s="559" t="b">
        <f t="shared" si="11"/>
        <v>1</v>
      </c>
    </row>
    <row r="417" spans="1:10" hidden="1">
      <c r="A417" s="559" t="str">
        <f t="shared" si="10"/>
        <v>Residential_Building Shell_Ceiling/Attic Insulation #1 (Electric Heat)_Fe</v>
      </c>
      <c r="B417" t="s">
        <v>1165</v>
      </c>
      <c r="C417" t="s">
        <v>1169</v>
      </c>
      <c r="D417" t="s">
        <v>1399</v>
      </c>
      <c r="E417" s="562" t="s">
        <v>1198</v>
      </c>
      <c r="F417" s="572">
        <v>3.1399999999999997E-2</v>
      </c>
      <c r="H417" s="559" t="s">
        <v>1401</v>
      </c>
      <c r="I417" s="559" t="s">
        <v>1402</v>
      </c>
      <c r="J417" s="559" t="b">
        <f t="shared" si="11"/>
        <v>0</v>
      </c>
    </row>
    <row r="418" spans="1:10" hidden="1">
      <c r="A418" s="559" t="str">
        <f t="shared" si="10"/>
        <v>Residential_Building Shell_Ceiling/Attic Insulation #1 (Electric Heat)_29.3</v>
      </c>
      <c r="B418" t="s">
        <v>1165</v>
      </c>
      <c r="C418" t="s">
        <v>1169</v>
      </c>
      <c r="D418" t="s">
        <v>1399</v>
      </c>
      <c r="E418" s="562">
        <v>29.3</v>
      </c>
      <c r="F418" s="572">
        <v>29.3</v>
      </c>
      <c r="H418" s="559" t="s">
        <v>1401</v>
      </c>
      <c r="I418" s="559" t="s">
        <v>1402</v>
      </c>
      <c r="J418" s="559" t="b">
        <f t="shared" si="11"/>
        <v>0</v>
      </c>
    </row>
    <row r="419" spans="1:10" hidden="1">
      <c r="A419" s="559" t="str">
        <f t="shared" si="10"/>
        <v>Residential_Building Shell_Ceiling/Attic Insulation #1 (Electric Heat)_ADJAtticHeatFan</v>
      </c>
      <c r="B419" t="s">
        <v>1165</v>
      </c>
      <c r="C419" t="s">
        <v>1169</v>
      </c>
      <c r="D419" t="s">
        <v>1399</v>
      </c>
      <c r="E419" s="562" t="s">
        <v>1408</v>
      </c>
      <c r="F419" s="582">
        <v>1.1299999999999999</v>
      </c>
      <c r="H419" s="559" t="s">
        <v>1401</v>
      </c>
      <c r="I419" s="559" t="s">
        <v>1402</v>
      </c>
      <c r="J419" s="559" t="b">
        <f t="shared" si="11"/>
        <v>0</v>
      </c>
    </row>
    <row r="420" spans="1:10" hidden="1">
      <c r="A420" s="559" t="str">
        <f t="shared" si="10"/>
        <v>Residential_Building Shell_Ceiling/Attic Insulation #1 (Electric Heat)_IENetCorrection</v>
      </c>
      <c r="B420" t="s">
        <v>1165</v>
      </c>
      <c r="C420" t="s">
        <v>1169</v>
      </c>
      <c r="D420" t="s">
        <v>1399</v>
      </c>
      <c r="E420" s="562" t="s">
        <v>1376</v>
      </c>
      <c r="F420" s="572">
        <f>IF([18]Dashboard_FS!$K$19="Yes",110%,100%)</f>
        <v>1.1000000000000001</v>
      </c>
      <c r="H420" s="559" t="s">
        <v>1401</v>
      </c>
      <c r="I420" s="559" t="s">
        <v>1402</v>
      </c>
      <c r="J420" s="559" t="b">
        <f t="shared" si="11"/>
        <v>1</v>
      </c>
    </row>
    <row r="421" spans="1:10" hidden="1">
      <c r="A421" s="559" t="str">
        <f t="shared" si="10"/>
        <v>Residential_Building Shell_Ceiling/Attic Insulation #1 (Electric Heat)_Delta_kWh_heatingGas</v>
      </c>
      <c r="B421" t="s">
        <v>1165</v>
      </c>
      <c r="C421" t="s">
        <v>1169</v>
      </c>
      <c r="D421" t="s">
        <v>1399</v>
      </c>
      <c r="E421" s="560" t="s">
        <v>1387</v>
      </c>
      <c r="F421" s="571" t="e">
        <f xml:space="preserve"> F439 * F417 * F418 * F419 * F420</f>
        <v>#DIV/0!</v>
      </c>
      <c r="H421" s="559" t="s">
        <v>1401</v>
      </c>
      <c r="I421" s="559" t="s">
        <v>1402</v>
      </c>
      <c r="J421" s="559" t="b">
        <f t="shared" si="11"/>
        <v>1</v>
      </c>
    </row>
    <row r="422" spans="1:10" hidden="1">
      <c r="A422" s="559" t="str">
        <f t="shared" si="10"/>
        <v>Residential_Building Shell_Ceiling/Attic Insulation #1 (Electric Heat)_Delta_kWh_heatingGas_Mid-Life_Adj</v>
      </c>
      <c r="B422" t="s">
        <v>1165</v>
      </c>
      <c r="C422" t="s">
        <v>1169</v>
      </c>
      <c r="D422" t="s">
        <v>1399</v>
      </c>
      <c r="E422" s="560" t="s">
        <v>1388</v>
      </c>
      <c r="F422" s="571" t="e">
        <f xml:space="preserve"> F440 * F417 * F418 * F419 * F420</f>
        <v>#DIV/0!</v>
      </c>
      <c r="H422" s="559" t="s">
        <v>1401</v>
      </c>
      <c r="I422" s="559" t="s">
        <v>1402</v>
      </c>
      <c r="J422" s="559" t="b">
        <f t="shared" si="11"/>
        <v>1</v>
      </c>
    </row>
    <row r="423" spans="1:10" hidden="1">
      <c r="A423" s="559" t="str">
        <f t="shared" si="10"/>
        <v>Residential_Building Shell_Ceiling/Attic Insulation #1 (Electric Heat)_FLH_cooling</v>
      </c>
      <c r="B423" t="s">
        <v>1165</v>
      </c>
      <c r="C423" t="s">
        <v>1169</v>
      </c>
      <c r="D423" t="s">
        <v>1399</v>
      </c>
      <c r="E423" s="562" t="s">
        <v>1389</v>
      </c>
      <c r="F423" s="582" t="e">
        <f>INDEX('[18]CZ Inputs'!G:G,MATCH(A423&amp;"_"&amp;[18]Dashboard_EE!$K$3,'[18]CZ Inputs'!A:A,0))</f>
        <v>#N/A</v>
      </c>
      <c r="G423" s="559" t="s">
        <v>1369</v>
      </c>
      <c r="H423" s="559" t="s">
        <v>1401</v>
      </c>
      <c r="I423" s="559" t="s">
        <v>1402</v>
      </c>
      <c r="J423" s="559" t="b">
        <f t="shared" si="11"/>
        <v>1</v>
      </c>
    </row>
    <row r="424" spans="1:10" hidden="1">
      <c r="A424" s="559" t="str">
        <f t="shared" si="10"/>
        <v>Residential_Building Shell_Ceiling/Attic Insulation #1 (Electric Heat)_CF</v>
      </c>
      <c r="B424" t="s">
        <v>1165</v>
      </c>
      <c r="C424" t="s">
        <v>1169</v>
      </c>
      <c r="D424" t="s">
        <v>1399</v>
      </c>
      <c r="E424" s="562" t="s">
        <v>1224</v>
      </c>
      <c r="F424" s="572">
        <v>0.68</v>
      </c>
      <c r="G424" s="559" t="s">
        <v>1266</v>
      </c>
      <c r="H424" s="559" t="s">
        <v>1401</v>
      </c>
      <c r="I424" s="559" t="s">
        <v>1402</v>
      </c>
      <c r="J424" s="559" t="b">
        <f t="shared" si="11"/>
        <v>0</v>
      </c>
    </row>
    <row r="425" spans="1:10" hidden="1">
      <c r="A425" s="559" t="str">
        <f t="shared" si="10"/>
        <v>Residential_Building Shell_Ceiling/Attic Insulation #1 (Electric Heat)_Delta_kW</v>
      </c>
      <c r="B425" t="s">
        <v>1165</v>
      </c>
      <c r="C425" t="s">
        <v>1169</v>
      </c>
      <c r="D425" t="s">
        <v>1399</v>
      </c>
      <c r="E425" s="560" t="s">
        <v>1226</v>
      </c>
      <c r="F425" s="571" t="e">
        <f>(F402/F423)*F424</f>
        <v>#DIV/0!</v>
      </c>
      <c r="H425" s="559" t="s">
        <v>1401</v>
      </c>
      <c r="I425" s="559" t="s">
        <v>1402</v>
      </c>
      <c r="J425" s="559" t="b">
        <f t="shared" si="11"/>
        <v>1</v>
      </c>
    </row>
    <row r="426" spans="1:10" hidden="1">
      <c r="A426" s="559" t="str">
        <f t="shared" si="10"/>
        <v>Residential_Building Shell_Ceiling/Attic Insulation #1 (Electric Heat)_Delta_kW_Mid-Life_Adj</v>
      </c>
      <c r="B426" t="s">
        <v>1165</v>
      </c>
      <c r="C426" t="s">
        <v>1169</v>
      </c>
      <c r="D426" t="s">
        <v>1399</v>
      </c>
      <c r="E426" s="560" t="s">
        <v>1390</v>
      </c>
      <c r="F426" s="571" t="e">
        <f>(F403/F423)*F424</f>
        <v>#DIV/0!</v>
      </c>
      <c r="H426" s="559" t="s">
        <v>1401</v>
      </c>
      <c r="I426" s="559" t="s">
        <v>1402</v>
      </c>
      <c r="J426" s="559" t="b">
        <f t="shared" si="11"/>
        <v>1</v>
      </c>
    </row>
    <row r="427" spans="1:10" hidden="1">
      <c r="A427" s="559" t="str">
        <f t="shared" si="10"/>
        <v>Residential_Building Shell_Ceiling/Attic Insulation #1 (Electric Heat)_R_old</v>
      </c>
      <c r="B427" t="s">
        <v>1165</v>
      </c>
      <c r="C427" t="s">
        <v>1169</v>
      </c>
      <c r="D427" t="s">
        <v>1399</v>
      </c>
      <c r="E427" s="562" t="s">
        <v>1400</v>
      </c>
      <c r="F427" s="572">
        <f>[18]Dashboard_FS!$O$15</f>
        <v>0</v>
      </c>
      <c r="G427" s="559" t="s">
        <v>1187</v>
      </c>
      <c r="H427" s="559" t="s">
        <v>1401</v>
      </c>
      <c r="I427" s="559" t="s">
        <v>1402</v>
      </c>
      <c r="J427" s="559" t="b">
        <f t="shared" si="11"/>
        <v>1</v>
      </c>
    </row>
    <row r="428" spans="1:10" hidden="1">
      <c r="A428" s="559" t="str">
        <f t="shared" si="10"/>
        <v>Residential_Building Shell_Ceiling/Attic Insulation #1 (Electric Heat)_R_attic</v>
      </c>
      <c r="B428" t="s">
        <v>1165</v>
      </c>
      <c r="C428" t="s">
        <v>1169</v>
      </c>
      <c r="D428" t="s">
        <v>1399</v>
      </c>
      <c r="E428" s="562" t="s">
        <v>1403</v>
      </c>
      <c r="F428" s="572">
        <f>[18]Dashboard_FS!$P$15</f>
        <v>0</v>
      </c>
      <c r="G428" s="559" t="s">
        <v>1187</v>
      </c>
      <c r="H428" s="559" t="s">
        <v>1401</v>
      </c>
      <c r="I428" s="559" t="s">
        <v>1402</v>
      </c>
      <c r="J428" s="559" t="b">
        <f t="shared" si="11"/>
        <v>1</v>
      </c>
    </row>
    <row r="429" spans="1:10" hidden="1">
      <c r="A429" s="559" t="str">
        <f t="shared" si="10"/>
        <v>Residential_Building Shell_Ceiling/Attic Insulation #1 (Electric Heat)_A_attic</v>
      </c>
      <c r="B429" t="s">
        <v>1165</v>
      </c>
      <c r="C429" t="s">
        <v>1169</v>
      </c>
      <c r="D429" t="s">
        <v>1399</v>
      </c>
      <c r="E429" s="560" t="s">
        <v>1404</v>
      </c>
      <c r="F429" s="571">
        <f>[18]Dashboard_FS!$O$4</f>
        <v>0</v>
      </c>
      <c r="G429" s="559" t="s">
        <v>1187</v>
      </c>
      <c r="H429" s="559" t="s">
        <v>1401</v>
      </c>
      <c r="I429" s="559" t="s">
        <v>1402</v>
      </c>
      <c r="J429" s="559" t="b">
        <f t="shared" si="11"/>
        <v>1</v>
      </c>
    </row>
    <row r="430" spans="1:10" hidden="1">
      <c r="A430" s="559" t="str">
        <f t="shared" si="10"/>
        <v>Residential_Building Shell_Ceiling/Attic Insulation #1 (Electric Heat)_Framing_factor_attic</v>
      </c>
      <c r="B430" t="s">
        <v>1165</v>
      </c>
      <c r="C430" t="s">
        <v>1169</v>
      </c>
      <c r="D430" t="s">
        <v>1399</v>
      </c>
      <c r="E430" s="562" t="s">
        <v>1405</v>
      </c>
      <c r="F430" s="572">
        <v>7.0000000000000007E-2</v>
      </c>
      <c r="H430" s="559" t="s">
        <v>1401</v>
      </c>
      <c r="I430" s="559" t="s">
        <v>1402</v>
      </c>
      <c r="J430" s="559" t="b">
        <f t="shared" si="11"/>
        <v>0</v>
      </c>
    </row>
    <row r="431" spans="1:10" hidden="1">
      <c r="A431" s="559" t="str">
        <f t="shared" si="10"/>
        <v>Residential_Building Shell_Ceiling/Attic Insulation #1 (Electric Heat)_24</v>
      </c>
      <c r="B431" t="s">
        <v>1165</v>
      </c>
      <c r="C431" t="s">
        <v>1169</v>
      </c>
      <c r="D431" t="s">
        <v>1399</v>
      </c>
      <c r="E431" s="562">
        <v>24</v>
      </c>
      <c r="F431" s="572">
        <v>24</v>
      </c>
      <c r="H431" s="559" t="s">
        <v>1401</v>
      </c>
      <c r="I431" s="559" t="s">
        <v>1402</v>
      </c>
      <c r="J431" s="559" t="b">
        <f t="shared" si="11"/>
        <v>0</v>
      </c>
    </row>
    <row r="432" spans="1:10" hidden="1">
      <c r="A432" s="559" t="str">
        <f t="shared" si="10"/>
        <v>Residential_Building Shell_Ceiling/Attic Insulation #1 (Electric Heat)_HDD</v>
      </c>
      <c r="B432" t="s">
        <v>1165</v>
      </c>
      <c r="C432" t="s">
        <v>1169</v>
      </c>
      <c r="D432" t="s">
        <v>1399</v>
      </c>
      <c r="E432" s="562" t="s">
        <v>1380</v>
      </c>
      <c r="F432" s="582" t="e">
        <f>INDEX('[18]CZ Inputs'!G:G,MATCH(A432&amp;"_"&amp;[18]Dashboard_EE!$K$3,'[18]CZ Inputs'!A:A,0))</f>
        <v>#N/A</v>
      </c>
      <c r="G432" s="559" t="s">
        <v>1369</v>
      </c>
      <c r="H432" s="559" t="s">
        <v>1401</v>
      </c>
      <c r="I432" s="559" t="s">
        <v>1402</v>
      </c>
      <c r="J432" s="559" t="b">
        <f t="shared" si="11"/>
        <v>1</v>
      </c>
    </row>
    <row r="433" spans="1:10" hidden="1">
      <c r="A433" s="559" t="str">
        <f t="shared" si="10"/>
        <v>Residential_Building Shell_Ceiling/Attic Insulation #1 (Electric Heat)_ηHeat</v>
      </c>
      <c r="B433" t="s">
        <v>1165</v>
      </c>
      <c r="C433" t="s">
        <v>1169</v>
      </c>
      <c r="D433" t="s">
        <v>1399</v>
      </c>
      <c r="E433" s="560" t="s">
        <v>1381</v>
      </c>
      <c r="F433" s="571" t="e">
        <f>[18]Dashboard_FS!$K$8</f>
        <v>#REF!</v>
      </c>
      <c r="G433" s="559" t="s">
        <v>1187</v>
      </c>
      <c r="H433" s="559" t="s">
        <v>1401</v>
      </c>
      <c r="I433" s="559" t="s">
        <v>1402</v>
      </c>
      <c r="J433" s="559" t="b">
        <f t="shared" si="11"/>
        <v>1</v>
      </c>
    </row>
    <row r="434" spans="1:10" hidden="1">
      <c r="A434" s="559" t="str">
        <f t="shared" si="10"/>
        <v>Residential_Building Shell_Ceiling/Attic Insulation #1 (Electric Heat)_ηHeat_Mid-Life_Adj</v>
      </c>
      <c r="B434" t="s">
        <v>1165</v>
      </c>
      <c r="C434" t="s">
        <v>1169</v>
      </c>
      <c r="D434" t="s">
        <v>1399</v>
      </c>
      <c r="E434" s="560" t="s">
        <v>1382</v>
      </c>
      <c r="F434" s="571" t="e">
        <f>[18]Dashboard_FS!$K$8</f>
        <v>#REF!</v>
      </c>
      <c r="G434" s="559" t="s">
        <v>1187</v>
      </c>
      <c r="H434" s="559" t="s">
        <v>1401</v>
      </c>
      <c r="I434" s="559" t="s">
        <v>1402</v>
      </c>
      <c r="J434" s="559" t="b">
        <f t="shared" si="11"/>
        <v>1</v>
      </c>
    </row>
    <row r="435" spans="1:10" hidden="1">
      <c r="A435" s="559" t="str">
        <f t="shared" si="10"/>
        <v>Residential_Building Shell_Ceiling/Attic Insulation #1 (Electric Heat)_100000</v>
      </c>
      <c r="B435" t="s">
        <v>1165</v>
      </c>
      <c r="C435" t="s">
        <v>1169</v>
      </c>
      <c r="D435" t="s">
        <v>1399</v>
      </c>
      <c r="E435" s="562">
        <v>100000</v>
      </c>
      <c r="F435" s="572">
        <v>100000</v>
      </c>
      <c r="H435" s="559" t="s">
        <v>1401</v>
      </c>
      <c r="I435" s="559" t="s">
        <v>1402</v>
      </c>
      <c r="J435" s="559" t="b">
        <f t="shared" si="11"/>
        <v>0</v>
      </c>
    </row>
    <row r="436" spans="1:10" hidden="1">
      <c r="A436" s="559" t="str">
        <f t="shared" si="10"/>
        <v>Residential_Building Shell_Ceiling/Attic Insulation #1 (Electric Heat)_ADJAtticGasHeat</v>
      </c>
      <c r="B436" t="s">
        <v>1165</v>
      </c>
      <c r="C436" t="s">
        <v>1169</v>
      </c>
      <c r="D436" t="s">
        <v>1399</v>
      </c>
      <c r="E436" s="562" t="s">
        <v>1409</v>
      </c>
      <c r="F436" s="582">
        <v>0.76</v>
      </c>
      <c r="H436" s="559" t="s">
        <v>1401</v>
      </c>
      <c r="I436" s="559" t="s">
        <v>1402</v>
      </c>
      <c r="J436" s="559" t="b">
        <f t="shared" si="11"/>
        <v>0</v>
      </c>
    </row>
    <row r="437" spans="1:10" hidden="1">
      <c r="A437" s="559" t="str">
        <f t="shared" si="10"/>
        <v>Residential_Building Shell_Ceiling/Attic Insulation #1 (Electric Heat)_IENetCorrection</v>
      </c>
      <c r="B437" t="s">
        <v>1165</v>
      </c>
      <c r="C437" t="s">
        <v>1169</v>
      </c>
      <c r="D437" t="s">
        <v>1399</v>
      </c>
      <c r="E437" s="562" t="s">
        <v>1376</v>
      </c>
      <c r="F437" s="572">
        <f>IF([18]Dashboard_FS!$K$19="Yes",110%,100%)</f>
        <v>1.1000000000000001</v>
      </c>
      <c r="H437" s="559" t="s">
        <v>1401</v>
      </c>
      <c r="I437" s="559" t="s">
        <v>1402</v>
      </c>
      <c r="J437" s="559" t="b">
        <f t="shared" si="11"/>
        <v>1</v>
      </c>
    </row>
    <row r="438" spans="1:10" hidden="1">
      <c r="A438" s="559" t="str">
        <f t="shared" si="10"/>
        <v>Residential_Building Shell_Ceiling/Attic Insulation #1 (Electric Heat)_%GasHeat</v>
      </c>
      <c r="B438" t="s">
        <v>1165</v>
      </c>
      <c r="C438" t="s">
        <v>1169</v>
      </c>
      <c r="D438" t="s">
        <v>1399</v>
      </c>
      <c r="E438" s="562" t="s">
        <v>1410</v>
      </c>
      <c r="F438" s="572">
        <v>0</v>
      </c>
      <c r="G438" s="559" t="s">
        <v>1383</v>
      </c>
      <c r="H438" s="559" t="s">
        <v>1401</v>
      </c>
      <c r="I438" s="559" t="s">
        <v>1402</v>
      </c>
      <c r="J438" s="559" t="b">
        <f t="shared" si="11"/>
        <v>0</v>
      </c>
    </row>
    <row r="439" spans="1:10" hidden="1">
      <c r="A439" s="559" t="str">
        <f t="shared" si="10"/>
        <v>Residential_Building Shell_Ceiling/Attic Insulation #1 (Electric Heat)_Delta_therms</v>
      </c>
      <c r="B439" t="s">
        <v>1165</v>
      </c>
      <c r="C439" t="s">
        <v>1169</v>
      </c>
      <c r="D439" t="s">
        <v>1399</v>
      </c>
      <c r="E439" s="560" t="s">
        <v>1392</v>
      </c>
      <c r="F439" s="571" t="e">
        <f xml:space="preserve"> ((((1/ F427 - 1/ F428) * F429 * (1 - F430)) * F431 * F432) / (F433 * F435)) * F436 * F437 * F438</f>
        <v>#DIV/0!</v>
      </c>
      <c r="H439" s="559" t="s">
        <v>1401</v>
      </c>
      <c r="I439" s="559" t="s">
        <v>1402</v>
      </c>
      <c r="J439" s="559" t="b">
        <f t="shared" si="11"/>
        <v>1</v>
      </c>
    </row>
    <row r="440" spans="1:10" hidden="1">
      <c r="A440" s="559" t="str">
        <f t="shared" ref="A440:A503" si="12">B440&amp;"_"&amp;C440&amp;"_"&amp;D440&amp;"_"&amp;E440</f>
        <v>Residential_Building Shell_Ceiling/Attic Insulation #1 (Electric Heat)_Delta_therms_Mid-Life_Adj</v>
      </c>
      <c r="B440" t="s">
        <v>1165</v>
      </c>
      <c r="C440" t="s">
        <v>1169</v>
      </c>
      <c r="D440" t="s">
        <v>1399</v>
      </c>
      <c r="E440" s="560" t="s">
        <v>1393</v>
      </c>
      <c r="F440" s="571" t="e">
        <f xml:space="preserve"> ((((1/ F427 - 1/ F428) * F429 * (1 - F430)) * F431 * F432) / (F434 * F435)) * F436 * F437 * F438</f>
        <v>#DIV/0!</v>
      </c>
      <c r="H440" s="559" t="s">
        <v>1401</v>
      </c>
      <c r="I440" s="559" t="s">
        <v>1402</v>
      </c>
      <c r="J440" s="559" t="b">
        <f t="shared" si="11"/>
        <v>1</v>
      </c>
    </row>
    <row r="441" spans="1:10" hidden="1">
      <c r="A441" s="559" t="str">
        <f t="shared" si="12"/>
        <v>Residential_Building Shell_Ceiling/Attic Insulation #1 (Electric Heat)_Remaining Year kWh</v>
      </c>
      <c r="B441" t="s">
        <v>1165</v>
      </c>
      <c r="C441" t="s">
        <v>1169</v>
      </c>
      <c r="D441" t="s">
        <v>1399</v>
      </c>
      <c r="E441" s="568" t="s">
        <v>1394</v>
      </c>
      <c r="F441" s="574" t="e">
        <f>F402+F415+F421</f>
        <v>#DIV/0!</v>
      </c>
      <c r="H441" s="559" t="s">
        <v>1401</v>
      </c>
      <c r="I441" s="559" t="s">
        <v>1402</v>
      </c>
      <c r="J441" s="559" t="b">
        <f t="shared" si="11"/>
        <v>1</v>
      </c>
    </row>
    <row r="442" spans="1:10" hidden="1">
      <c r="A442" s="559" t="str">
        <f t="shared" si="12"/>
        <v>Residential_Building Shell_Ceiling/Attic Insulation #1 (Electric Heat)_kWh Saved per Unit</v>
      </c>
      <c r="B442" t="s">
        <v>1165</v>
      </c>
      <c r="C442" t="s">
        <v>1169</v>
      </c>
      <c r="D442" t="s">
        <v>1399</v>
      </c>
      <c r="E442" s="568" t="s">
        <v>1227</v>
      </c>
      <c r="F442" s="574" t="e">
        <f>F403+F416+F422</f>
        <v>#DIV/0!</v>
      </c>
      <c r="H442" s="559" t="s">
        <v>1401</v>
      </c>
      <c r="I442" s="559" t="s">
        <v>1402</v>
      </c>
      <c r="J442" s="559" t="b">
        <f t="shared" si="11"/>
        <v>1</v>
      </c>
    </row>
    <row r="443" spans="1:10" hidden="1">
      <c r="A443" s="559" t="str">
        <f t="shared" si="12"/>
        <v>Residential_Building Shell_Ceiling/Attic Insulation #1 (Electric Heat)_Remaining Year kW</v>
      </c>
      <c r="B443" t="s">
        <v>1165</v>
      </c>
      <c r="C443" t="s">
        <v>1169</v>
      </c>
      <c r="D443" t="s">
        <v>1399</v>
      </c>
      <c r="E443" s="568" t="s">
        <v>1395</v>
      </c>
      <c r="F443" s="574" t="e">
        <f>F425</f>
        <v>#DIV/0!</v>
      </c>
      <c r="H443" s="559" t="s">
        <v>1401</v>
      </c>
      <c r="I443" s="559" t="s">
        <v>1402</v>
      </c>
      <c r="J443" s="559" t="b">
        <f t="shared" si="11"/>
        <v>1</v>
      </c>
    </row>
    <row r="444" spans="1:10" hidden="1">
      <c r="A444" s="559" t="str">
        <f t="shared" si="12"/>
        <v>Residential_Building Shell_Ceiling/Attic Insulation #1 (Electric Heat)_Coincident Peak kW Saved per Unit</v>
      </c>
      <c r="B444" t="s">
        <v>1165</v>
      </c>
      <c r="C444" t="s">
        <v>1169</v>
      </c>
      <c r="D444" t="s">
        <v>1399</v>
      </c>
      <c r="E444" s="568" t="s">
        <v>1228</v>
      </c>
      <c r="F444" s="574" t="e">
        <f>F426</f>
        <v>#DIV/0!</v>
      </c>
      <c r="H444" s="559" t="s">
        <v>1401</v>
      </c>
      <c r="I444" s="559" t="s">
        <v>1402</v>
      </c>
      <c r="J444" s="559" t="b">
        <f t="shared" si="11"/>
        <v>1</v>
      </c>
    </row>
    <row r="445" spans="1:10" hidden="1">
      <c r="A445" s="559" t="str">
        <f t="shared" si="12"/>
        <v>Residential_Building Shell_Ceiling/Attic Insulation #1 (Electric Heat)_Remaining Year Therms</v>
      </c>
      <c r="B445" t="s">
        <v>1165</v>
      </c>
      <c r="C445" t="s">
        <v>1169</v>
      </c>
      <c r="D445" t="s">
        <v>1399</v>
      </c>
      <c r="E445" s="568" t="s">
        <v>1396</v>
      </c>
      <c r="F445" s="574" t="e">
        <f>F439</f>
        <v>#DIV/0!</v>
      </c>
      <c r="H445" s="559" t="s">
        <v>1401</v>
      </c>
      <c r="I445" s="559" t="s">
        <v>1402</v>
      </c>
      <c r="J445" s="559" t="b">
        <f t="shared" si="11"/>
        <v>1</v>
      </c>
    </row>
    <row r="446" spans="1:10" hidden="1">
      <c r="A446" s="559" t="str">
        <f t="shared" si="12"/>
        <v>Residential_Building Shell_Ceiling/Attic Insulation #1 (Electric Heat)_Therms Saved per Unit</v>
      </c>
      <c r="B446" t="s">
        <v>1165</v>
      </c>
      <c r="C446" t="s">
        <v>1169</v>
      </c>
      <c r="D446" t="s">
        <v>1399</v>
      </c>
      <c r="E446" s="568" t="s">
        <v>1323</v>
      </c>
      <c r="F446" s="574" t="e">
        <f>F440</f>
        <v>#DIV/0!</v>
      </c>
      <c r="H446" s="559" t="s">
        <v>1401</v>
      </c>
      <c r="I446" s="559" t="s">
        <v>1402</v>
      </c>
      <c r="J446" s="559" t="b">
        <f t="shared" si="11"/>
        <v>1</v>
      </c>
    </row>
    <row r="447" spans="1:10" hidden="1">
      <c r="A447" s="559" t="str">
        <f t="shared" si="12"/>
        <v>Residential_Building Shell_Ceiling/Attic Insulation #1 (Electric Heat)_Remaining Life</v>
      </c>
      <c r="B447" t="s">
        <v>1165</v>
      </c>
      <c r="C447" t="s">
        <v>1169</v>
      </c>
      <c r="D447" t="s">
        <v>1399</v>
      </c>
      <c r="E447" s="568" t="s">
        <v>1397</v>
      </c>
      <c r="F447" s="574">
        <v>10</v>
      </c>
      <c r="H447" s="559" t="s">
        <v>1401</v>
      </c>
      <c r="I447" s="559" t="s">
        <v>1402</v>
      </c>
      <c r="J447" s="559" t="b">
        <f t="shared" si="11"/>
        <v>0</v>
      </c>
    </row>
    <row r="448" spans="1:10" hidden="1">
      <c r="A448" s="559" t="str">
        <f t="shared" si="12"/>
        <v>Residential_Building Shell_Ceiling/Attic Insulation #1 (Electric Heat)_Lifetime (years)</v>
      </c>
      <c r="B448" t="s">
        <v>1165</v>
      </c>
      <c r="C448" t="s">
        <v>1169</v>
      </c>
      <c r="D448" t="s">
        <v>1399</v>
      </c>
      <c r="E448" s="568" t="s">
        <v>1231</v>
      </c>
      <c r="F448" s="575">
        <v>30</v>
      </c>
      <c r="H448" s="559" t="s">
        <v>1401</v>
      </c>
      <c r="I448" s="559" t="s">
        <v>1402</v>
      </c>
      <c r="J448" s="559" t="b">
        <f t="shared" si="11"/>
        <v>0</v>
      </c>
    </row>
    <row r="449" spans="1:10" hidden="1">
      <c r="A449" s="559" t="str">
        <f t="shared" si="12"/>
        <v>Residential_Building Shell_Ceiling/Attic Insulation #1 (Electric Heat)_Incremental Cost</v>
      </c>
      <c r="B449" t="s">
        <v>1165</v>
      </c>
      <c r="C449" t="s">
        <v>1169</v>
      </c>
      <c r="D449" t="s">
        <v>1399</v>
      </c>
      <c r="E449" s="568" t="s">
        <v>1232</v>
      </c>
      <c r="F449" s="570">
        <f>0.75*F391</f>
        <v>0</v>
      </c>
      <c r="G449" s="559" t="s">
        <v>1398</v>
      </c>
      <c r="H449" s="559" t="s">
        <v>1401</v>
      </c>
      <c r="I449" s="559" t="s">
        <v>1402</v>
      </c>
      <c r="J449" s="559" t="b">
        <f t="shared" si="11"/>
        <v>1</v>
      </c>
    </row>
    <row r="450" spans="1:10" hidden="1">
      <c r="A450" s="559" t="str">
        <f t="shared" si="12"/>
        <v>Residential_Building Shell_Ceiling/Attic Insulation #1 (Electric Heat)_BTU Impact_Existing_Fossil Fuel</v>
      </c>
      <c r="B450" t="s">
        <v>1165</v>
      </c>
      <c r="C450" t="s">
        <v>1169</v>
      </c>
      <c r="D450" t="s">
        <v>1399</v>
      </c>
      <c r="E450" s="568" t="s">
        <v>1234</v>
      </c>
      <c r="F450" s="569">
        <v>0</v>
      </c>
      <c r="H450" s="559" t="s">
        <v>1401</v>
      </c>
      <c r="I450" s="559" t="s">
        <v>1402</v>
      </c>
      <c r="J450" s="559" t="b">
        <f t="shared" si="11"/>
        <v>0</v>
      </c>
    </row>
    <row r="451" spans="1:10" hidden="1">
      <c r="A451" s="559" t="str">
        <f t="shared" si="12"/>
        <v>Residential_Building Shell_Ceiling/Attic Insulation #1 (Electric Heat)_BTU Impact_Existing_Winter Electricity</v>
      </c>
      <c r="B451" t="s">
        <v>1165</v>
      </c>
      <c r="C451" t="s">
        <v>1169</v>
      </c>
      <c r="D451" t="s">
        <v>1399</v>
      </c>
      <c r="E451" s="568" t="s">
        <v>1235</v>
      </c>
      <c r="F451" s="569">
        <v>0</v>
      </c>
      <c r="H451" s="559" t="s">
        <v>1401</v>
      </c>
      <c r="I451" s="559" t="s">
        <v>1402</v>
      </c>
      <c r="J451" s="559" t="b">
        <f t="shared" si="11"/>
        <v>0</v>
      </c>
    </row>
    <row r="452" spans="1:10" hidden="1">
      <c r="A452" s="559" t="str">
        <f t="shared" si="12"/>
        <v>Residential_Building Shell_Ceiling/Attic Insulation #1 (Electric Heat)_BTU Impact_Existing_Summer Electricity</v>
      </c>
      <c r="B452" t="s">
        <v>1165</v>
      </c>
      <c r="C452" t="s">
        <v>1169</v>
      </c>
      <c r="D452" t="s">
        <v>1399</v>
      </c>
      <c r="E452" s="568" t="s">
        <v>1236</v>
      </c>
      <c r="F452" s="569">
        <v>0</v>
      </c>
      <c r="H452" s="559" t="s">
        <v>1401</v>
      </c>
      <c r="I452" s="559" t="s">
        <v>1402</v>
      </c>
      <c r="J452" s="559" t="b">
        <f t="shared" si="11"/>
        <v>0</v>
      </c>
    </row>
    <row r="453" spans="1:10" hidden="1">
      <c r="A453" s="559" t="str">
        <f t="shared" si="12"/>
        <v>Residential_Building Shell_Ceiling/Attic Insulation #1 (Electric Heat)_BTU Impact_New_Fossil Fuel</v>
      </c>
      <c r="B453" t="s">
        <v>1165</v>
      </c>
      <c r="C453" t="s">
        <v>1169</v>
      </c>
      <c r="D453" t="s">
        <v>1399</v>
      </c>
      <c r="E453" s="568" t="s">
        <v>1237</v>
      </c>
      <c r="F453" s="569">
        <v>0</v>
      </c>
      <c r="H453" s="559" t="s">
        <v>1401</v>
      </c>
      <c r="I453" s="559" t="s">
        <v>1402</v>
      </c>
      <c r="J453" s="559" t="b">
        <f t="shared" si="11"/>
        <v>0</v>
      </c>
    </row>
    <row r="454" spans="1:10" hidden="1">
      <c r="A454" s="559" t="str">
        <f t="shared" si="12"/>
        <v>Residential_Building Shell_Ceiling/Attic Insulation #1 (Electric Heat)_BTU Impact_New_Winter Electricity</v>
      </c>
      <c r="B454" t="s">
        <v>1165</v>
      </c>
      <c r="C454" t="s">
        <v>1169</v>
      </c>
      <c r="D454" t="s">
        <v>1399</v>
      </c>
      <c r="E454" s="568" t="s">
        <v>1238</v>
      </c>
      <c r="F454" s="569" t="e">
        <f>-F415*3412</f>
        <v>#DIV/0!</v>
      </c>
      <c r="H454" s="559" t="s">
        <v>1401</v>
      </c>
      <c r="I454" s="559" t="s">
        <v>1402</v>
      </c>
      <c r="J454" s="559" t="b">
        <f t="shared" si="11"/>
        <v>1</v>
      </c>
    </row>
    <row r="455" spans="1:10" hidden="1">
      <c r="A455" s="559" t="str">
        <f t="shared" si="12"/>
        <v>Residential_Building Shell_Ceiling/Attic Insulation #1 (Electric Heat)_BTU Impact_New_Summer Electricity</v>
      </c>
      <c r="B455" t="s">
        <v>1165</v>
      </c>
      <c r="C455" t="s">
        <v>1169</v>
      </c>
      <c r="D455" t="s">
        <v>1399</v>
      </c>
      <c r="E455" s="568" t="s">
        <v>1239</v>
      </c>
      <c r="F455" s="569" t="e">
        <f>-F402*3412</f>
        <v>#DIV/0!</v>
      </c>
      <c r="H455" s="559" t="s">
        <v>1401</v>
      </c>
      <c r="I455" s="559" t="s">
        <v>1402</v>
      </c>
      <c r="J455" s="559" t="b">
        <f t="shared" si="11"/>
        <v>1</v>
      </c>
    </row>
    <row r="456" spans="1:10" hidden="1">
      <c r="A456" s="559" t="str">
        <f t="shared" si="12"/>
        <v>Residential_Building Shell_Ceiling/Attic Insulation #1 (Electric Heat)_</v>
      </c>
      <c r="B456" t="s">
        <v>1165</v>
      </c>
      <c r="C456" t="s">
        <v>1169</v>
      </c>
      <c r="D456" t="s">
        <v>1399</v>
      </c>
      <c r="H456" s="559" t="s">
        <v>1401</v>
      </c>
      <c r="I456" s="559" t="s">
        <v>1402</v>
      </c>
      <c r="J456" s="559" t="b">
        <f t="shared" si="11"/>
        <v>0</v>
      </c>
    </row>
    <row r="457" spans="1:10" hidden="1">
      <c r="A457" s="559" t="str">
        <f t="shared" si="12"/>
        <v>Residential_Building Shell_Ceiling/Attic Insulation #2 (Electric Heat)_R_old</v>
      </c>
      <c r="B457" t="s">
        <v>1165</v>
      </c>
      <c r="C457" t="s">
        <v>1169</v>
      </c>
      <c r="D457" t="s">
        <v>1411</v>
      </c>
      <c r="E457" s="562" t="s">
        <v>1400</v>
      </c>
      <c r="F457" s="572">
        <f>[18]Dashboard_FS!$O$16</f>
        <v>0</v>
      </c>
      <c r="G457" s="559" t="s">
        <v>1187</v>
      </c>
      <c r="H457" s="559" t="s">
        <v>1401</v>
      </c>
      <c r="I457" s="559" t="s">
        <v>1402</v>
      </c>
      <c r="J457" s="559" t="b">
        <f t="shared" si="11"/>
        <v>1</v>
      </c>
    </row>
    <row r="458" spans="1:10" hidden="1">
      <c r="A458" s="559" t="str">
        <f t="shared" si="12"/>
        <v>Residential_Building Shell_Ceiling/Attic Insulation #2 (Electric Heat)_R_attic</v>
      </c>
      <c r="B458" t="s">
        <v>1165</v>
      </c>
      <c r="C458" t="s">
        <v>1169</v>
      </c>
      <c r="D458" t="s">
        <v>1411</v>
      </c>
      <c r="E458" s="562" t="s">
        <v>1403</v>
      </c>
      <c r="F458" s="572">
        <f>[18]Dashboard_FS!$P$16</f>
        <v>0</v>
      </c>
      <c r="G458" s="559" t="s">
        <v>1187</v>
      </c>
      <c r="H458" s="559" t="s">
        <v>1401</v>
      </c>
      <c r="I458" s="559" t="s">
        <v>1402</v>
      </c>
      <c r="J458" s="559" t="b">
        <f t="shared" si="11"/>
        <v>1</v>
      </c>
    </row>
    <row r="459" spans="1:10" hidden="1">
      <c r="A459" s="559" t="str">
        <f t="shared" si="12"/>
        <v>Residential_Building Shell_Ceiling/Attic Insulation #2 (Electric Heat)_A_attic</v>
      </c>
      <c r="B459" t="s">
        <v>1165</v>
      </c>
      <c r="C459" t="s">
        <v>1169</v>
      </c>
      <c r="D459" t="s">
        <v>1411</v>
      </c>
      <c r="E459" s="560" t="s">
        <v>1404</v>
      </c>
      <c r="F459" s="571">
        <f>[18]Dashboard_FS!$O$5</f>
        <v>0</v>
      </c>
      <c r="G459" s="559" t="s">
        <v>1187</v>
      </c>
      <c r="H459" s="559" t="s">
        <v>1401</v>
      </c>
      <c r="I459" s="559" t="s">
        <v>1402</v>
      </c>
      <c r="J459" s="559" t="b">
        <f t="shared" si="11"/>
        <v>1</v>
      </c>
    </row>
    <row r="460" spans="1:10" hidden="1">
      <c r="A460" s="559" t="str">
        <f t="shared" si="12"/>
        <v>Residential_Building Shell_Ceiling/Attic Insulation #2 (Electric Heat)_Framing_factor_attic</v>
      </c>
      <c r="B460" t="s">
        <v>1165</v>
      </c>
      <c r="C460" t="s">
        <v>1169</v>
      </c>
      <c r="D460" t="s">
        <v>1411</v>
      </c>
      <c r="E460" s="562" t="s">
        <v>1405</v>
      </c>
      <c r="F460" s="572">
        <v>7.0000000000000007E-2</v>
      </c>
      <c r="H460" s="559" t="s">
        <v>1401</v>
      </c>
      <c r="I460" s="559" t="s">
        <v>1402</v>
      </c>
      <c r="J460" s="559" t="b">
        <f t="shared" si="11"/>
        <v>0</v>
      </c>
    </row>
    <row r="461" spans="1:10" hidden="1">
      <c r="A461" s="559" t="str">
        <f t="shared" si="12"/>
        <v>Residential_Building Shell_Ceiling/Attic Insulation #2 (Electric Heat)_24</v>
      </c>
      <c r="B461" t="s">
        <v>1165</v>
      </c>
      <c r="C461" t="s">
        <v>1169</v>
      </c>
      <c r="D461" t="s">
        <v>1411</v>
      </c>
      <c r="E461" s="562">
        <v>24</v>
      </c>
      <c r="F461" s="572">
        <v>24</v>
      </c>
      <c r="H461" s="559" t="s">
        <v>1401</v>
      </c>
      <c r="I461" s="559" t="s">
        <v>1402</v>
      </c>
      <c r="J461" s="559" t="b">
        <f t="shared" si="11"/>
        <v>0</v>
      </c>
    </row>
    <row r="462" spans="1:10" hidden="1">
      <c r="A462" s="559" t="str">
        <f t="shared" si="12"/>
        <v>Residential_Building Shell_Ceiling/Attic Insulation #2 (Electric Heat)_CDD</v>
      </c>
      <c r="B462" t="s">
        <v>1165</v>
      </c>
      <c r="C462" t="s">
        <v>1169</v>
      </c>
      <c r="D462" t="s">
        <v>1411</v>
      </c>
      <c r="E462" s="562" t="s">
        <v>1368</v>
      </c>
      <c r="F462" s="582" t="e">
        <f>INDEX('[18]CZ Inputs'!G:G,MATCH(A462&amp;"_"&amp;[18]Dashboard_EE!$K$3,'[18]CZ Inputs'!A:A,0))</f>
        <v>#N/A</v>
      </c>
      <c r="G462" s="559" t="s">
        <v>1369</v>
      </c>
      <c r="H462" s="559" t="s">
        <v>1401</v>
      </c>
      <c r="I462" s="559" t="s">
        <v>1402</v>
      </c>
      <c r="J462" s="559" t="b">
        <f t="shared" si="11"/>
        <v>1</v>
      </c>
    </row>
    <row r="463" spans="1:10" hidden="1">
      <c r="A463" s="559" t="str">
        <f t="shared" si="12"/>
        <v>Residential_Building Shell_Ceiling/Attic Insulation #2 (Electric Heat)_DUA</v>
      </c>
      <c r="B463" t="s">
        <v>1165</v>
      </c>
      <c r="C463" t="s">
        <v>1169</v>
      </c>
      <c r="D463" t="s">
        <v>1411</v>
      </c>
      <c r="E463" s="562" t="s">
        <v>1370</v>
      </c>
      <c r="F463" s="572">
        <v>0.75</v>
      </c>
      <c r="H463" s="559" t="s">
        <v>1401</v>
      </c>
      <c r="I463" s="559" t="s">
        <v>1402</v>
      </c>
      <c r="J463" s="559" t="b">
        <f t="shared" si="11"/>
        <v>0</v>
      </c>
    </row>
    <row r="464" spans="1:10" hidden="1">
      <c r="A464" s="559" t="str">
        <f t="shared" si="12"/>
        <v>Residential_Building Shell_Ceiling/Attic Insulation #2 (Electric Heat)_1000</v>
      </c>
      <c r="B464" t="s">
        <v>1165</v>
      </c>
      <c r="C464" t="s">
        <v>1169</v>
      </c>
      <c r="D464" t="s">
        <v>1411</v>
      </c>
      <c r="E464" s="562">
        <v>1000</v>
      </c>
      <c r="F464" s="572">
        <v>1000</v>
      </c>
      <c r="H464" s="559" t="s">
        <v>1401</v>
      </c>
      <c r="I464" s="559" t="s">
        <v>1402</v>
      </c>
      <c r="J464" s="559" t="b">
        <f t="shared" si="11"/>
        <v>0</v>
      </c>
    </row>
    <row r="465" spans="1:10" hidden="1">
      <c r="A465" s="559" t="str">
        <f t="shared" si="12"/>
        <v>Residential_Building Shell_Ceiling/Attic Insulation #2 (Electric Heat)_ηCool</v>
      </c>
      <c r="B465" t="s">
        <v>1165</v>
      </c>
      <c r="C465" t="s">
        <v>1169</v>
      </c>
      <c r="D465" t="s">
        <v>1411</v>
      </c>
      <c r="E465" s="560" t="s">
        <v>1371</v>
      </c>
      <c r="F465" s="571" t="e">
        <f>[18]Dashboard_FS!$K$13</f>
        <v>#REF!</v>
      </c>
      <c r="G465" s="559" t="s">
        <v>1187</v>
      </c>
      <c r="H465" s="559" t="s">
        <v>1401</v>
      </c>
      <c r="I465" s="559" t="s">
        <v>1402</v>
      </c>
      <c r="J465" s="559" t="b">
        <f t="shared" si="11"/>
        <v>1</v>
      </c>
    </row>
    <row r="466" spans="1:10" hidden="1">
      <c r="A466" s="559" t="str">
        <f t="shared" si="12"/>
        <v>Residential_Building Shell_Ceiling/Attic Insulation #2 (Electric Heat)_ηCool_Mid-Life_Adj</v>
      </c>
      <c r="B466" t="s">
        <v>1165</v>
      </c>
      <c r="C466" t="s">
        <v>1169</v>
      </c>
      <c r="D466" t="s">
        <v>1411</v>
      </c>
      <c r="E466" s="560" t="s">
        <v>1372</v>
      </c>
      <c r="F466" s="571" t="e">
        <f>[18]Dashboard_FS!$K$13</f>
        <v>#REF!</v>
      </c>
      <c r="G466" s="559" t="s">
        <v>1187</v>
      </c>
      <c r="H466" s="559" t="s">
        <v>1401</v>
      </c>
      <c r="I466" s="559" t="s">
        <v>1402</v>
      </c>
      <c r="J466" s="559" t="b">
        <f t="shared" si="11"/>
        <v>1</v>
      </c>
    </row>
    <row r="467" spans="1:10" hidden="1">
      <c r="A467" s="559" t="str">
        <f t="shared" si="12"/>
        <v>Residential_Building Shell_Ceiling/Attic Insulation #2 (Electric Heat)_ADJAtticCool</v>
      </c>
      <c r="B467" t="s">
        <v>1165</v>
      </c>
      <c r="C467" t="s">
        <v>1169</v>
      </c>
      <c r="D467" t="s">
        <v>1411</v>
      </c>
      <c r="E467" s="562" t="s">
        <v>1406</v>
      </c>
      <c r="F467" s="582">
        <v>1.1399999999999999</v>
      </c>
      <c r="H467" s="559" t="s">
        <v>1401</v>
      </c>
      <c r="I467" s="559" t="s">
        <v>1402</v>
      </c>
      <c r="J467" s="559" t="b">
        <f t="shared" si="11"/>
        <v>0</v>
      </c>
    </row>
    <row r="468" spans="1:10" hidden="1">
      <c r="A468" s="559" t="str">
        <f t="shared" si="12"/>
        <v>Residential_Building Shell_Ceiling/Attic Insulation #2 (Electric Heat)_IENetCorrection</v>
      </c>
      <c r="B468" t="s">
        <v>1165</v>
      </c>
      <c r="C468" t="s">
        <v>1169</v>
      </c>
      <c r="D468" t="s">
        <v>1411</v>
      </c>
      <c r="E468" s="562" t="s">
        <v>1376</v>
      </c>
      <c r="F468" s="572">
        <f>IF([18]Dashboard_FS!$K$19="Yes",110%,100%)</f>
        <v>1.1000000000000001</v>
      </c>
      <c r="H468" s="559" t="s">
        <v>1401</v>
      </c>
      <c r="I468" s="559" t="s">
        <v>1402</v>
      </c>
      <c r="J468" s="559" t="b">
        <f t="shared" si="11"/>
        <v>1</v>
      </c>
    </row>
    <row r="469" spans="1:10" hidden="1">
      <c r="A469" s="559" t="str">
        <f t="shared" si="12"/>
        <v>Residential_Building Shell_Ceiling/Attic Insulation #2 (Electric Heat)_%Cool</v>
      </c>
      <c r="B469" t="s">
        <v>1165</v>
      </c>
      <c r="C469" t="s">
        <v>1169</v>
      </c>
      <c r="D469" t="s">
        <v>1411</v>
      </c>
      <c r="E469" s="562" t="s">
        <v>1344</v>
      </c>
      <c r="F469" s="572">
        <v>1</v>
      </c>
      <c r="H469" s="559" t="s">
        <v>1401</v>
      </c>
      <c r="I469" s="559" t="s">
        <v>1402</v>
      </c>
      <c r="J469" s="559" t="b">
        <f t="shared" si="11"/>
        <v>0</v>
      </c>
    </row>
    <row r="470" spans="1:10" hidden="1">
      <c r="A470" s="559" t="str">
        <f t="shared" si="12"/>
        <v>Residential_Building Shell_Ceiling/Attic Insulation #2 (Electric Heat)_Delta_kWh_cooling</v>
      </c>
      <c r="B470" t="s">
        <v>1165</v>
      </c>
      <c r="C470" t="s">
        <v>1169</v>
      </c>
      <c r="D470" t="s">
        <v>1411</v>
      </c>
      <c r="E470" s="560" t="s">
        <v>1377</v>
      </c>
      <c r="F470" s="571" t="e">
        <f>((((1/ F457 - 1/ F458) * F459 * (1 - F460)) * F461 * F462 * F463) / (F464 * F465)) * F467 * F468 * F469</f>
        <v>#DIV/0!</v>
      </c>
      <c r="H470" s="559" t="s">
        <v>1401</v>
      </c>
      <c r="I470" s="559" t="s">
        <v>1402</v>
      </c>
      <c r="J470" s="559" t="b">
        <f t="shared" si="11"/>
        <v>1</v>
      </c>
    </row>
    <row r="471" spans="1:10" hidden="1">
      <c r="A471" s="559" t="str">
        <f t="shared" si="12"/>
        <v>Residential_Building Shell_Ceiling/Attic Insulation #2 (Electric Heat)_Delta_kWh_cooling_Mid-Life_Adj</v>
      </c>
      <c r="B471" t="s">
        <v>1165</v>
      </c>
      <c r="C471" t="s">
        <v>1169</v>
      </c>
      <c r="D471" t="s">
        <v>1411</v>
      </c>
      <c r="E471" s="560" t="s">
        <v>1378</v>
      </c>
      <c r="F471" s="571" t="e">
        <f>((((1/ F457 - 1/ F458) * F459 * (1 - F460)) * F461 * F462 * F463) / (F464 * F466)) * F467 * F468 * F469</f>
        <v>#DIV/0!</v>
      </c>
      <c r="H471" s="559" t="s">
        <v>1401</v>
      </c>
      <c r="I471" s="559" t="s">
        <v>1402</v>
      </c>
      <c r="J471" s="559" t="b">
        <f t="shared" si="11"/>
        <v>1</v>
      </c>
    </row>
    <row r="472" spans="1:10" hidden="1">
      <c r="A472" s="559" t="str">
        <f t="shared" si="12"/>
        <v>Residential_Building Shell_Ceiling/Attic Insulation #2 (Electric Heat)_R_old</v>
      </c>
      <c r="B472" t="s">
        <v>1165</v>
      </c>
      <c r="C472" t="s">
        <v>1169</v>
      </c>
      <c r="D472" t="s">
        <v>1411</v>
      </c>
      <c r="E472" s="562" t="s">
        <v>1400</v>
      </c>
      <c r="F472" s="572">
        <f>[18]Dashboard_FS!$O$16</f>
        <v>0</v>
      </c>
      <c r="G472" s="559" t="s">
        <v>1187</v>
      </c>
      <c r="H472" s="559" t="s">
        <v>1401</v>
      </c>
      <c r="I472" s="559" t="s">
        <v>1402</v>
      </c>
      <c r="J472" s="559" t="b">
        <f t="shared" si="11"/>
        <v>1</v>
      </c>
    </row>
    <row r="473" spans="1:10" hidden="1">
      <c r="A473" s="559" t="str">
        <f t="shared" si="12"/>
        <v>Residential_Building Shell_Ceiling/Attic Insulation #2 (Electric Heat)_R_attic</v>
      </c>
      <c r="B473" t="s">
        <v>1165</v>
      </c>
      <c r="C473" t="s">
        <v>1169</v>
      </c>
      <c r="D473" t="s">
        <v>1411</v>
      </c>
      <c r="E473" s="562" t="s">
        <v>1403</v>
      </c>
      <c r="F473" s="572">
        <f>[18]Dashboard_FS!$P$16</f>
        <v>0</v>
      </c>
      <c r="G473" s="559" t="s">
        <v>1187</v>
      </c>
      <c r="H473" s="559" t="s">
        <v>1401</v>
      </c>
      <c r="I473" s="559" t="s">
        <v>1402</v>
      </c>
      <c r="J473" s="559" t="b">
        <f t="shared" si="11"/>
        <v>1</v>
      </c>
    </row>
    <row r="474" spans="1:10" hidden="1">
      <c r="A474" s="559" t="str">
        <f t="shared" si="12"/>
        <v>Residential_Building Shell_Ceiling/Attic Insulation #2 (Electric Heat)_A_attic</v>
      </c>
      <c r="B474" t="s">
        <v>1165</v>
      </c>
      <c r="C474" t="s">
        <v>1169</v>
      </c>
      <c r="D474" t="s">
        <v>1411</v>
      </c>
      <c r="E474" s="560" t="s">
        <v>1404</v>
      </c>
      <c r="F474" s="571">
        <f>[18]Dashboard_FS!$O$5</f>
        <v>0</v>
      </c>
      <c r="G474" s="559" t="s">
        <v>1187</v>
      </c>
      <c r="H474" s="559" t="s">
        <v>1401</v>
      </c>
      <c r="I474" s="559" t="s">
        <v>1402</v>
      </c>
      <c r="J474" s="559" t="b">
        <f t="shared" si="11"/>
        <v>1</v>
      </c>
    </row>
    <row r="475" spans="1:10" hidden="1">
      <c r="A475" s="559" t="str">
        <f t="shared" si="12"/>
        <v>Residential_Building Shell_Ceiling/Attic Insulation #2 (Electric Heat)_Framing_factor_attic</v>
      </c>
      <c r="B475" t="s">
        <v>1165</v>
      </c>
      <c r="C475" t="s">
        <v>1169</v>
      </c>
      <c r="D475" t="s">
        <v>1411</v>
      </c>
      <c r="E475" s="562" t="s">
        <v>1405</v>
      </c>
      <c r="F475" s="572">
        <v>7.0000000000000007E-2</v>
      </c>
      <c r="H475" s="559" t="s">
        <v>1401</v>
      </c>
      <c r="I475" s="559" t="s">
        <v>1402</v>
      </c>
      <c r="J475" s="559" t="b">
        <f t="shared" si="11"/>
        <v>0</v>
      </c>
    </row>
    <row r="476" spans="1:10" hidden="1">
      <c r="A476" s="559" t="str">
        <f t="shared" si="12"/>
        <v>Residential_Building Shell_Ceiling/Attic Insulation #2 (Electric Heat)_24</v>
      </c>
      <c r="B476" t="s">
        <v>1165</v>
      </c>
      <c r="C476" t="s">
        <v>1169</v>
      </c>
      <c r="D476" t="s">
        <v>1411</v>
      </c>
      <c r="E476" s="562">
        <v>24</v>
      </c>
      <c r="F476" s="572">
        <v>24</v>
      </c>
      <c r="H476" s="559" t="s">
        <v>1401</v>
      </c>
      <c r="I476" s="559" t="s">
        <v>1402</v>
      </c>
      <c r="J476" s="559" t="b">
        <f t="shared" si="11"/>
        <v>0</v>
      </c>
    </row>
    <row r="477" spans="1:10" hidden="1">
      <c r="A477" s="559" t="str">
        <f t="shared" si="12"/>
        <v>Residential_Building Shell_Ceiling/Attic Insulation #2 (Electric Heat)_HDD</v>
      </c>
      <c r="B477" t="s">
        <v>1165</v>
      </c>
      <c r="C477" t="s">
        <v>1169</v>
      </c>
      <c r="D477" t="s">
        <v>1411</v>
      </c>
      <c r="E477" s="562" t="s">
        <v>1380</v>
      </c>
      <c r="F477" s="582" t="e">
        <f>INDEX('[18]CZ Inputs'!G:G,MATCH(A477&amp;"_"&amp;[18]Dashboard_EE!$K$3,'[18]CZ Inputs'!A:A,0))</f>
        <v>#N/A</v>
      </c>
      <c r="G477" s="559" t="s">
        <v>1369</v>
      </c>
      <c r="H477" s="559" t="s">
        <v>1401</v>
      </c>
      <c r="I477" s="559" t="s">
        <v>1402</v>
      </c>
      <c r="J477" s="559" t="b">
        <f t="shared" si="11"/>
        <v>1</v>
      </c>
    </row>
    <row r="478" spans="1:10" hidden="1">
      <c r="A478" s="559" t="str">
        <f t="shared" si="12"/>
        <v>Residential_Building Shell_Ceiling/Attic Insulation #2 (Electric Heat)_ηHeat</v>
      </c>
      <c r="B478" t="s">
        <v>1165</v>
      </c>
      <c r="C478" t="s">
        <v>1169</v>
      </c>
      <c r="D478" t="s">
        <v>1411</v>
      </c>
      <c r="E478" s="560" t="s">
        <v>1381</v>
      </c>
      <c r="F478" s="571" t="e">
        <f>[18]Dashboard_FS!$K$6</f>
        <v>#REF!</v>
      </c>
      <c r="G478" s="559" t="s">
        <v>1187</v>
      </c>
      <c r="H478" s="559" t="s">
        <v>1401</v>
      </c>
      <c r="I478" s="559" t="s">
        <v>1402</v>
      </c>
      <c r="J478" s="559" t="b">
        <f t="shared" si="11"/>
        <v>1</v>
      </c>
    </row>
    <row r="479" spans="1:10" hidden="1">
      <c r="A479" s="559" t="str">
        <f t="shared" si="12"/>
        <v>Residential_Building Shell_Ceiling/Attic Insulation #2 (Electric Heat)_ηHeat_Mid-Life_Adj</v>
      </c>
      <c r="B479" t="s">
        <v>1165</v>
      </c>
      <c r="C479" t="s">
        <v>1169</v>
      </c>
      <c r="D479" t="s">
        <v>1411</v>
      </c>
      <c r="E479" s="560" t="s">
        <v>1382</v>
      </c>
      <c r="F479" s="571" t="e">
        <f>[18]Dashboard_FS!$K$6</f>
        <v>#REF!</v>
      </c>
      <c r="G479" s="559" t="s">
        <v>1187</v>
      </c>
      <c r="H479" s="559" t="s">
        <v>1401</v>
      </c>
      <c r="I479" s="559" t="s">
        <v>1402</v>
      </c>
      <c r="J479" s="559" t="b">
        <f t="shared" si="11"/>
        <v>1</v>
      </c>
    </row>
    <row r="480" spans="1:10" hidden="1">
      <c r="A480" s="559" t="str">
        <f t="shared" si="12"/>
        <v>Residential_Building Shell_Ceiling/Attic Insulation #2 (Electric Heat)_3412</v>
      </c>
      <c r="B480" t="s">
        <v>1165</v>
      </c>
      <c r="C480" t="s">
        <v>1169</v>
      </c>
      <c r="D480" t="s">
        <v>1411</v>
      </c>
      <c r="E480" s="562">
        <v>3412</v>
      </c>
      <c r="F480" s="572">
        <v>3412</v>
      </c>
      <c r="H480" s="559" t="s">
        <v>1401</v>
      </c>
      <c r="I480" s="559" t="s">
        <v>1402</v>
      </c>
      <c r="J480" s="559" t="b">
        <f t="shared" si="11"/>
        <v>0</v>
      </c>
    </row>
    <row r="481" spans="1:10" hidden="1">
      <c r="A481" s="559" t="str">
        <f t="shared" si="12"/>
        <v>Residential_Building Shell_Ceiling/Attic Insulation #2 (Electric Heat)_ADJAtticElectricHeat</v>
      </c>
      <c r="B481" t="s">
        <v>1165</v>
      </c>
      <c r="C481" t="s">
        <v>1169</v>
      </c>
      <c r="D481" t="s">
        <v>1411</v>
      </c>
      <c r="E481" s="562" t="s">
        <v>1407</v>
      </c>
      <c r="F481" s="582">
        <v>0.63</v>
      </c>
      <c r="H481" s="559" t="s">
        <v>1401</v>
      </c>
      <c r="I481" s="559" t="s">
        <v>1402</v>
      </c>
      <c r="J481" s="559" t="b">
        <f t="shared" si="11"/>
        <v>0</v>
      </c>
    </row>
    <row r="482" spans="1:10" hidden="1">
      <c r="A482" s="559" t="str">
        <f t="shared" si="12"/>
        <v>Residential_Building Shell_Ceiling/Attic Insulation #2 (Electric Heat)_%ElectricHeat</v>
      </c>
      <c r="B482" t="s">
        <v>1165</v>
      </c>
      <c r="C482" t="s">
        <v>1169</v>
      </c>
      <c r="D482" t="s">
        <v>1411</v>
      </c>
      <c r="E482" s="562" t="s">
        <v>1349</v>
      </c>
      <c r="F482" s="572">
        <v>1</v>
      </c>
      <c r="G482" s="559" t="s">
        <v>1383</v>
      </c>
      <c r="H482" s="559" t="s">
        <v>1401</v>
      </c>
      <c r="I482" s="559" t="s">
        <v>1402</v>
      </c>
      <c r="J482" s="559" t="b">
        <f t="shared" si="11"/>
        <v>0</v>
      </c>
    </row>
    <row r="483" spans="1:10" hidden="1">
      <c r="A483" s="559" t="str">
        <f t="shared" si="12"/>
        <v>Residential_Building Shell_Ceiling/Attic Insulation #2 (Electric Heat)_Delta_kWh_heatingElectric</v>
      </c>
      <c r="B483" t="s">
        <v>1165</v>
      </c>
      <c r="C483" t="s">
        <v>1169</v>
      </c>
      <c r="D483" t="s">
        <v>1411</v>
      </c>
      <c r="E483" s="560" t="s">
        <v>1384</v>
      </c>
      <c r="F483" s="571" t="e">
        <f>((((1/ F472 - 1/ F473) * F474 * (1 - F475)) * F476 * F477) / (F478 * F480)) * F481 * F482</f>
        <v>#DIV/0!</v>
      </c>
      <c r="H483" s="559" t="s">
        <v>1401</v>
      </c>
      <c r="I483" s="559" t="s">
        <v>1402</v>
      </c>
      <c r="J483" s="559" t="b">
        <f t="shared" si="11"/>
        <v>1</v>
      </c>
    </row>
    <row r="484" spans="1:10" hidden="1">
      <c r="A484" s="559" t="str">
        <f t="shared" si="12"/>
        <v>Residential_Building Shell_Ceiling/Attic Insulation #2 (Electric Heat)_Delta_kWh_heatingElectric_Mid-Life_Adj</v>
      </c>
      <c r="B484" t="s">
        <v>1165</v>
      </c>
      <c r="C484" t="s">
        <v>1169</v>
      </c>
      <c r="D484" t="s">
        <v>1411</v>
      </c>
      <c r="E484" s="560" t="s">
        <v>1385</v>
      </c>
      <c r="F484" s="571" t="e">
        <f>((((1/ F472 - 1/ F473) * F474 * (1 - F475)) * F476 * F477) / (F479 * F480)) * F481 * F482</f>
        <v>#DIV/0!</v>
      </c>
      <c r="H484" s="559" t="s">
        <v>1401</v>
      </c>
      <c r="I484" s="559" t="s">
        <v>1402</v>
      </c>
      <c r="J484" s="559" t="b">
        <f t="shared" si="11"/>
        <v>1</v>
      </c>
    </row>
    <row r="485" spans="1:10" hidden="1">
      <c r="A485" s="559" t="str">
        <f t="shared" si="12"/>
        <v>Residential_Building Shell_Ceiling/Attic Insulation #2 (Electric Heat)_Fe</v>
      </c>
      <c r="B485" t="s">
        <v>1165</v>
      </c>
      <c r="C485" t="s">
        <v>1169</v>
      </c>
      <c r="D485" t="s">
        <v>1411</v>
      </c>
      <c r="E485" s="562" t="s">
        <v>1198</v>
      </c>
      <c r="F485" s="572">
        <v>3.1399999999999997E-2</v>
      </c>
      <c r="H485" s="559" t="s">
        <v>1401</v>
      </c>
      <c r="I485" s="559" t="s">
        <v>1402</v>
      </c>
      <c r="J485" s="559" t="b">
        <f t="shared" si="11"/>
        <v>0</v>
      </c>
    </row>
    <row r="486" spans="1:10" hidden="1">
      <c r="A486" s="559" t="str">
        <f t="shared" si="12"/>
        <v>Residential_Building Shell_Ceiling/Attic Insulation #2 (Electric Heat)_29.3</v>
      </c>
      <c r="B486" t="s">
        <v>1165</v>
      </c>
      <c r="C486" t="s">
        <v>1169</v>
      </c>
      <c r="D486" t="s">
        <v>1411</v>
      </c>
      <c r="E486" s="562">
        <v>29.3</v>
      </c>
      <c r="F486" s="572">
        <v>29.3</v>
      </c>
      <c r="H486" s="559" t="s">
        <v>1401</v>
      </c>
      <c r="I486" s="559" t="s">
        <v>1402</v>
      </c>
      <c r="J486" s="559" t="b">
        <f t="shared" si="11"/>
        <v>0</v>
      </c>
    </row>
    <row r="487" spans="1:10" hidden="1">
      <c r="A487" s="559" t="str">
        <f t="shared" si="12"/>
        <v>Residential_Building Shell_Ceiling/Attic Insulation #2 (Electric Heat)_ADJAtticHeatFan</v>
      </c>
      <c r="B487" t="s">
        <v>1165</v>
      </c>
      <c r="C487" t="s">
        <v>1169</v>
      </c>
      <c r="D487" t="s">
        <v>1411</v>
      </c>
      <c r="E487" s="562" t="s">
        <v>1408</v>
      </c>
      <c r="F487" s="582">
        <v>1.1299999999999999</v>
      </c>
      <c r="H487" s="559" t="s">
        <v>1401</v>
      </c>
      <c r="I487" s="559" t="s">
        <v>1402</v>
      </c>
      <c r="J487" s="559" t="b">
        <f t="shared" si="11"/>
        <v>0</v>
      </c>
    </row>
    <row r="488" spans="1:10" hidden="1">
      <c r="A488" s="559" t="str">
        <f t="shared" si="12"/>
        <v>Residential_Building Shell_Ceiling/Attic Insulation #2 (Electric Heat)_IENetCorrection</v>
      </c>
      <c r="B488" t="s">
        <v>1165</v>
      </c>
      <c r="C488" t="s">
        <v>1169</v>
      </c>
      <c r="D488" t="s">
        <v>1411</v>
      </c>
      <c r="E488" s="562" t="s">
        <v>1376</v>
      </c>
      <c r="F488" s="572">
        <f>IF([18]Dashboard_FS!$K$19="Yes",110%,100%)</f>
        <v>1.1000000000000001</v>
      </c>
      <c r="H488" s="559" t="s">
        <v>1401</v>
      </c>
      <c r="I488" s="559" t="s">
        <v>1402</v>
      </c>
      <c r="J488" s="559" t="b">
        <f t="shared" si="11"/>
        <v>1</v>
      </c>
    </row>
    <row r="489" spans="1:10" hidden="1">
      <c r="A489" s="559" t="str">
        <f t="shared" si="12"/>
        <v>Residential_Building Shell_Ceiling/Attic Insulation #2 (Electric Heat)_Delta_kWh_heatingGas</v>
      </c>
      <c r="B489" t="s">
        <v>1165</v>
      </c>
      <c r="C489" t="s">
        <v>1169</v>
      </c>
      <c r="D489" t="s">
        <v>1411</v>
      </c>
      <c r="E489" s="560" t="s">
        <v>1387</v>
      </c>
      <c r="F489" s="571" t="e">
        <f xml:space="preserve"> F507 * F485 * F486 * F487 * F488</f>
        <v>#DIV/0!</v>
      </c>
      <c r="H489" s="559" t="s">
        <v>1401</v>
      </c>
      <c r="I489" s="559" t="s">
        <v>1402</v>
      </c>
      <c r="J489" s="559" t="b">
        <f t="shared" si="11"/>
        <v>1</v>
      </c>
    </row>
    <row r="490" spans="1:10" hidden="1">
      <c r="A490" s="559" t="str">
        <f t="shared" si="12"/>
        <v>Residential_Building Shell_Ceiling/Attic Insulation #2 (Electric Heat)_Delta_kWh_heatingGas_Mid-Life_Adj</v>
      </c>
      <c r="B490" t="s">
        <v>1165</v>
      </c>
      <c r="C490" t="s">
        <v>1169</v>
      </c>
      <c r="D490" t="s">
        <v>1411</v>
      </c>
      <c r="E490" s="560" t="s">
        <v>1388</v>
      </c>
      <c r="F490" s="571" t="e">
        <f xml:space="preserve"> F508 * F485 * F486 * F487 * F488</f>
        <v>#DIV/0!</v>
      </c>
      <c r="H490" s="559" t="s">
        <v>1401</v>
      </c>
      <c r="I490" s="559" t="s">
        <v>1402</v>
      </c>
      <c r="J490" s="559" t="b">
        <f t="shared" si="11"/>
        <v>1</v>
      </c>
    </row>
    <row r="491" spans="1:10" hidden="1">
      <c r="A491" s="559" t="str">
        <f t="shared" si="12"/>
        <v>Residential_Building Shell_Ceiling/Attic Insulation #2 (Electric Heat)_FLH_cooling</v>
      </c>
      <c r="B491" t="s">
        <v>1165</v>
      </c>
      <c r="C491" t="s">
        <v>1169</v>
      </c>
      <c r="D491" t="s">
        <v>1411</v>
      </c>
      <c r="E491" s="562" t="s">
        <v>1389</v>
      </c>
      <c r="F491" s="582" t="e">
        <f>INDEX('[18]CZ Inputs'!G:G,MATCH(A491&amp;"_"&amp;[18]Dashboard_EE!$K$3,'[18]CZ Inputs'!A:A,0))</f>
        <v>#N/A</v>
      </c>
      <c r="G491" s="559" t="s">
        <v>1369</v>
      </c>
      <c r="H491" s="559" t="s">
        <v>1401</v>
      </c>
      <c r="I491" s="559" t="s">
        <v>1402</v>
      </c>
      <c r="J491" s="559" t="b">
        <f t="shared" si="11"/>
        <v>1</v>
      </c>
    </row>
    <row r="492" spans="1:10" hidden="1">
      <c r="A492" s="559" t="str">
        <f t="shared" si="12"/>
        <v>Residential_Building Shell_Ceiling/Attic Insulation #2 (Electric Heat)_CF</v>
      </c>
      <c r="B492" t="s">
        <v>1165</v>
      </c>
      <c r="C492" t="s">
        <v>1169</v>
      </c>
      <c r="D492" t="s">
        <v>1411</v>
      </c>
      <c r="E492" s="562" t="s">
        <v>1224</v>
      </c>
      <c r="F492" s="572">
        <v>0.68</v>
      </c>
      <c r="G492" s="559" t="s">
        <v>1266</v>
      </c>
      <c r="H492" s="559" t="s">
        <v>1401</v>
      </c>
      <c r="I492" s="559" t="s">
        <v>1402</v>
      </c>
      <c r="J492" s="559" t="b">
        <f t="shared" si="11"/>
        <v>0</v>
      </c>
    </row>
    <row r="493" spans="1:10" hidden="1">
      <c r="A493" s="559" t="str">
        <f t="shared" si="12"/>
        <v>Residential_Building Shell_Ceiling/Attic Insulation #2 (Electric Heat)_Delta_kW</v>
      </c>
      <c r="B493" t="s">
        <v>1165</v>
      </c>
      <c r="C493" t="s">
        <v>1169</v>
      </c>
      <c r="D493" t="s">
        <v>1411</v>
      </c>
      <c r="E493" s="560" t="s">
        <v>1226</v>
      </c>
      <c r="F493" s="571" t="e">
        <f>(F470/F491)*F492</f>
        <v>#DIV/0!</v>
      </c>
      <c r="H493" s="559" t="s">
        <v>1401</v>
      </c>
      <c r="I493" s="559" t="s">
        <v>1402</v>
      </c>
      <c r="J493" s="559" t="b">
        <f t="shared" si="11"/>
        <v>1</v>
      </c>
    </row>
    <row r="494" spans="1:10" hidden="1">
      <c r="A494" s="559" t="str">
        <f t="shared" si="12"/>
        <v>Residential_Building Shell_Ceiling/Attic Insulation #2 (Electric Heat)_Delta_kW_Mid-Life_Adj</v>
      </c>
      <c r="B494" t="s">
        <v>1165</v>
      </c>
      <c r="C494" t="s">
        <v>1169</v>
      </c>
      <c r="D494" t="s">
        <v>1411</v>
      </c>
      <c r="E494" s="560" t="s">
        <v>1390</v>
      </c>
      <c r="F494" s="571" t="e">
        <f>(F471/F491)*F492</f>
        <v>#DIV/0!</v>
      </c>
      <c r="H494" s="559" t="s">
        <v>1401</v>
      </c>
      <c r="I494" s="559" t="s">
        <v>1402</v>
      </c>
      <c r="J494" s="559" t="b">
        <f t="shared" si="11"/>
        <v>1</v>
      </c>
    </row>
    <row r="495" spans="1:10" hidden="1">
      <c r="A495" s="559" t="str">
        <f t="shared" si="12"/>
        <v>Residential_Building Shell_Ceiling/Attic Insulation #2 (Electric Heat)_R_old</v>
      </c>
      <c r="B495" t="s">
        <v>1165</v>
      </c>
      <c r="C495" t="s">
        <v>1169</v>
      </c>
      <c r="D495" t="s">
        <v>1411</v>
      </c>
      <c r="E495" s="562" t="s">
        <v>1400</v>
      </c>
      <c r="F495" s="572">
        <f>[18]Dashboard_FS!$O$16</f>
        <v>0</v>
      </c>
      <c r="G495" s="559" t="s">
        <v>1187</v>
      </c>
      <c r="H495" s="559" t="s">
        <v>1401</v>
      </c>
      <c r="I495" s="559" t="s">
        <v>1402</v>
      </c>
      <c r="J495" s="559" t="b">
        <f t="shared" si="11"/>
        <v>1</v>
      </c>
    </row>
    <row r="496" spans="1:10" hidden="1">
      <c r="A496" s="559" t="str">
        <f t="shared" si="12"/>
        <v>Residential_Building Shell_Ceiling/Attic Insulation #2 (Electric Heat)_R_attic</v>
      </c>
      <c r="B496" t="s">
        <v>1165</v>
      </c>
      <c r="C496" t="s">
        <v>1169</v>
      </c>
      <c r="D496" t="s">
        <v>1411</v>
      </c>
      <c r="E496" s="562" t="s">
        <v>1403</v>
      </c>
      <c r="F496" s="572">
        <f>[18]Dashboard_FS!$P$16</f>
        <v>0</v>
      </c>
      <c r="G496" s="559" t="s">
        <v>1187</v>
      </c>
      <c r="H496" s="559" t="s">
        <v>1401</v>
      </c>
      <c r="I496" s="559" t="s">
        <v>1402</v>
      </c>
      <c r="J496" s="559" t="b">
        <f t="shared" si="11"/>
        <v>1</v>
      </c>
    </row>
    <row r="497" spans="1:10" hidden="1">
      <c r="A497" s="559" t="str">
        <f t="shared" si="12"/>
        <v>Residential_Building Shell_Ceiling/Attic Insulation #2 (Electric Heat)_A_attic</v>
      </c>
      <c r="B497" t="s">
        <v>1165</v>
      </c>
      <c r="C497" t="s">
        <v>1169</v>
      </c>
      <c r="D497" t="s">
        <v>1411</v>
      </c>
      <c r="E497" s="560" t="s">
        <v>1404</v>
      </c>
      <c r="F497" s="571">
        <f>[18]Dashboard_FS!$O$5</f>
        <v>0</v>
      </c>
      <c r="G497" s="559" t="s">
        <v>1187</v>
      </c>
      <c r="H497" s="559" t="s">
        <v>1401</v>
      </c>
      <c r="I497" s="559" t="s">
        <v>1402</v>
      </c>
      <c r="J497" s="559" t="b">
        <f t="shared" si="11"/>
        <v>1</v>
      </c>
    </row>
    <row r="498" spans="1:10" hidden="1">
      <c r="A498" s="559" t="str">
        <f t="shared" si="12"/>
        <v>Residential_Building Shell_Ceiling/Attic Insulation #2 (Electric Heat)_Framing_factor_attic</v>
      </c>
      <c r="B498" t="s">
        <v>1165</v>
      </c>
      <c r="C498" t="s">
        <v>1169</v>
      </c>
      <c r="D498" t="s">
        <v>1411</v>
      </c>
      <c r="E498" s="562" t="s">
        <v>1405</v>
      </c>
      <c r="F498" s="572">
        <v>7.0000000000000007E-2</v>
      </c>
      <c r="H498" s="559" t="s">
        <v>1401</v>
      </c>
      <c r="I498" s="559" t="s">
        <v>1402</v>
      </c>
      <c r="J498" s="559" t="b">
        <f t="shared" si="11"/>
        <v>0</v>
      </c>
    </row>
    <row r="499" spans="1:10" hidden="1">
      <c r="A499" s="559" t="str">
        <f t="shared" si="12"/>
        <v>Residential_Building Shell_Ceiling/Attic Insulation #2 (Electric Heat)_24</v>
      </c>
      <c r="B499" t="s">
        <v>1165</v>
      </c>
      <c r="C499" t="s">
        <v>1169</v>
      </c>
      <c r="D499" t="s">
        <v>1411</v>
      </c>
      <c r="E499" s="562">
        <v>24</v>
      </c>
      <c r="F499" s="572">
        <v>24</v>
      </c>
      <c r="H499" s="559" t="s">
        <v>1401</v>
      </c>
      <c r="I499" s="559" t="s">
        <v>1402</v>
      </c>
      <c r="J499" s="559" t="b">
        <f t="shared" si="11"/>
        <v>0</v>
      </c>
    </row>
    <row r="500" spans="1:10" hidden="1">
      <c r="A500" s="559" t="str">
        <f t="shared" si="12"/>
        <v>Residential_Building Shell_Ceiling/Attic Insulation #2 (Electric Heat)_HDD</v>
      </c>
      <c r="B500" t="s">
        <v>1165</v>
      </c>
      <c r="C500" t="s">
        <v>1169</v>
      </c>
      <c r="D500" t="s">
        <v>1411</v>
      </c>
      <c r="E500" s="562" t="s">
        <v>1380</v>
      </c>
      <c r="F500" s="582" t="e">
        <f>INDEX('[18]CZ Inputs'!G:G,MATCH(A500&amp;"_"&amp;[18]Dashboard_EE!$K$3,'[18]CZ Inputs'!A:A,0))</f>
        <v>#N/A</v>
      </c>
      <c r="G500" s="559" t="s">
        <v>1369</v>
      </c>
      <c r="H500" s="559" t="s">
        <v>1401</v>
      </c>
      <c r="I500" s="559" t="s">
        <v>1402</v>
      </c>
      <c r="J500" s="559" t="b">
        <f t="shared" si="11"/>
        <v>1</v>
      </c>
    </row>
    <row r="501" spans="1:10" hidden="1">
      <c r="A501" s="559" t="str">
        <f t="shared" si="12"/>
        <v>Residential_Building Shell_Ceiling/Attic Insulation #2 (Electric Heat)_ηHeat</v>
      </c>
      <c r="B501" t="s">
        <v>1165</v>
      </c>
      <c r="C501" t="s">
        <v>1169</v>
      </c>
      <c r="D501" t="s">
        <v>1411</v>
      </c>
      <c r="E501" s="560" t="s">
        <v>1381</v>
      </c>
      <c r="F501" s="571" t="e">
        <f>[18]Dashboard_FS!$K$8</f>
        <v>#REF!</v>
      </c>
      <c r="G501" s="559" t="s">
        <v>1187</v>
      </c>
      <c r="H501" s="559" t="s">
        <v>1401</v>
      </c>
      <c r="I501" s="559" t="s">
        <v>1402</v>
      </c>
      <c r="J501" s="559" t="b">
        <f t="shared" si="11"/>
        <v>1</v>
      </c>
    </row>
    <row r="502" spans="1:10" hidden="1">
      <c r="A502" s="559" t="str">
        <f t="shared" si="12"/>
        <v>Residential_Building Shell_Ceiling/Attic Insulation #2 (Electric Heat)_ηHeat_Mid-Life_Adj</v>
      </c>
      <c r="B502" t="s">
        <v>1165</v>
      </c>
      <c r="C502" t="s">
        <v>1169</v>
      </c>
      <c r="D502" t="s">
        <v>1411</v>
      </c>
      <c r="E502" s="560" t="s">
        <v>1382</v>
      </c>
      <c r="F502" s="571" t="e">
        <f>[18]Dashboard_FS!$K$8</f>
        <v>#REF!</v>
      </c>
      <c r="G502" s="559" t="s">
        <v>1187</v>
      </c>
      <c r="H502" s="559" t="s">
        <v>1401</v>
      </c>
      <c r="I502" s="559" t="s">
        <v>1402</v>
      </c>
      <c r="J502" s="559" t="b">
        <f t="shared" si="11"/>
        <v>1</v>
      </c>
    </row>
    <row r="503" spans="1:10" hidden="1">
      <c r="A503" s="559" t="str">
        <f t="shared" si="12"/>
        <v>Residential_Building Shell_Ceiling/Attic Insulation #2 (Electric Heat)_100000</v>
      </c>
      <c r="B503" t="s">
        <v>1165</v>
      </c>
      <c r="C503" t="s">
        <v>1169</v>
      </c>
      <c r="D503" t="s">
        <v>1411</v>
      </c>
      <c r="E503" s="562">
        <v>100000</v>
      </c>
      <c r="F503" s="572">
        <v>100000</v>
      </c>
      <c r="H503" s="559" t="s">
        <v>1401</v>
      </c>
      <c r="I503" s="559" t="s">
        <v>1402</v>
      </c>
      <c r="J503" s="559" t="b">
        <f t="shared" si="11"/>
        <v>0</v>
      </c>
    </row>
    <row r="504" spans="1:10" hidden="1">
      <c r="A504" s="559" t="str">
        <f t="shared" ref="A504:A567" si="13">B504&amp;"_"&amp;C504&amp;"_"&amp;D504&amp;"_"&amp;E504</f>
        <v>Residential_Building Shell_Ceiling/Attic Insulation #2 (Electric Heat)_ADJAtticGasHeat</v>
      </c>
      <c r="B504" t="s">
        <v>1165</v>
      </c>
      <c r="C504" t="s">
        <v>1169</v>
      </c>
      <c r="D504" t="s">
        <v>1411</v>
      </c>
      <c r="E504" s="562" t="s">
        <v>1409</v>
      </c>
      <c r="F504" s="582">
        <v>0.76</v>
      </c>
      <c r="H504" s="559" t="s">
        <v>1401</v>
      </c>
      <c r="I504" s="559" t="s">
        <v>1402</v>
      </c>
      <c r="J504" s="559" t="b">
        <f t="shared" si="11"/>
        <v>0</v>
      </c>
    </row>
    <row r="505" spans="1:10" hidden="1">
      <c r="A505" s="559" t="str">
        <f t="shared" si="13"/>
        <v>Residential_Building Shell_Ceiling/Attic Insulation #2 (Electric Heat)_IENetCorrection</v>
      </c>
      <c r="B505" t="s">
        <v>1165</v>
      </c>
      <c r="C505" t="s">
        <v>1169</v>
      </c>
      <c r="D505" t="s">
        <v>1411</v>
      </c>
      <c r="E505" s="562" t="s">
        <v>1376</v>
      </c>
      <c r="F505" s="572">
        <f>IF([18]Dashboard_FS!$K$19="Yes",110%,100%)</f>
        <v>1.1000000000000001</v>
      </c>
      <c r="H505" s="559" t="s">
        <v>1401</v>
      </c>
      <c r="I505" s="559" t="s">
        <v>1402</v>
      </c>
      <c r="J505" s="559" t="b">
        <f t="shared" si="11"/>
        <v>1</v>
      </c>
    </row>
    <row r="506" spans="1:10" hidden="1">
      <c r="A506" s="559" t="str">
        <f t="shared" si="13"/>
        <v>Residential_Building Shell_Ceiling/Attic Insulation #2 (Electric Heat)_%GasHeat</v>
      </c>
      <c r="B506" t="s">
        <v>1165</v>
      </c>
      <c r="C506" t="s">
        <v>1169</v>
      </c>
      <c r="D506" t="s">
        <v>1411</v>
      </c>
      <c r="E506" s="562" t="s">
        <v>1410</v>
      </c>
      <c r="F506" s="572">
        <v>0</v>
      </c>
      <c r="G506" s="559" t="s">
        <v>1383</v>
      </c>
      <c r="H506" s="559" t="s">
        <v>1401</v>
      </c>
      <c r="I506" s="559" t="s">
        <v>1402</v>
      </c>
      <c r="J506" s="559" t="b">
        <f t="shared" si="11"/>
        <v>0</v>
      </c>
    </row>
    <row r="507" spans="1:10" hidden="1">
      <c r="A507" s="559" t="str">
        <f t="shared" si="13"/>
        <v>Residential_Building Shell_Ceiling/Attic Insulation #2 (Electric Heat)_Delta_therms</v>
      </c>
      <c r="B507" t="s">
        <v>1165</v>
      </c>
      <c r="C507" t="s">
        <v>1169</v>
      </c>
      <c r="D507" t="s">
        <v>1411</v>
      </c>
      <c r="E507" s="560" t="s">
        <v>1392</v>
      </c>
      <c r="F507" s="571" t="e">
        <f xml:space="preserve"> ((((1/ F495 - 1/ F496) * F497 * (1 - F498)) * F499 * F500) / (F501 * F503)) * F504 * F505 * F506</f>
        <v>#DIV/0!</v>
      </c>
      <c r="H507" s="559" t="s">
        <v>1401</v>
      </c>
      <c r="I507" s="559" t="s">
        <v>1402</v>
      </c>
      <c r="J507" s="559" t="b">
        <f t="shared" si="11"/>
        <v>1</v>
      </c>
    </row>
    <row r="508" spans="1:10" hidden="1">
      <c r="A508" s="559" t="str">
        <f t="shared" si="13"/>
        <v>Residential_Building Shell_Ceiling/Attic Insulation #2 (Electric Heat)_Delta_therms_Mid-Life_Adj</v>
      </c>
      <c r="B508" t="s">
        <v>1165</v>
      </c>
      <c r="C508" t="s">
        <v>1169</v>
      </c>
      <c r="D508" t="s">
        <v>1411</v>
      </c>
      <c r="E508" s="560" t="s">
        <v>1393</v>
      </c>
      <c r="F508" s="571" t="e">
        <f xml:space="preserve"> ((((1/ F495 - 1/ F496) * F497 * (1 - F498)) * F499 * F500) / (F502 * F503)) * F504 * F505 * F506</f>
        <v>#DIV/0!</v>
      </c>
      <c r="H508" s="559" t="s">
        <v>1401</v>
      </c>
      <c r="I508" s="559" t="s">
        <v>1402</v>
      </c>
      <c r="J508" s="559" t="b">
        <f t="shared" si="11"/>
        <v>1</v>
      </c>
    </row>
    <row r="509" spans="1:10" hidden="1">
      <c r="A509" s="559" t="str">
        <f t="shared" si="13"/>
        <v>Residential_Building Shell_Ceiling/Attic Insulation #2 (Electric Heat)_Remaining Year kWh</v>
      </c>
      <c r="B509" t="s">
        <v>1165</v>
      </c>
      <c r="C509" t="s">
        <v>1169</v>
      </c>
      <c r="D509" t="s">
        <v>1411</v>
      </c>
      <c r="E509" s="568" t="s">
        <v>1394</v>
      </c>
      <c r="F509" s="574" t="e">
        <f>F470+F483+F489</f>
        <v>#DIV/0!</v>
      </c>
      <c r="H509" s="559" t="s">
        <v>1401</v>
      </c>
      <c r="I509" s="559" t="s">
        <v>1402</v>
      </c>
      <c r="J509" s="559" t="b">
        <f t="shared" si="11"/>
        <v>1</v>
      </c>
    </row>
    <row r="510" spans="1:10" hidden="1">
      <c r="A510" s="559" t="str">
        <f t="shared" si="13"/>
        <v>Residential_Building Shell_Ceiling/Attic Insulation #2 (Electric Heat)_kWh Saved per Unit</v>
      </c>
      <c r="B510" t="s">
        <v>1165</v>
      </c>
      <c r="C510" t="s">
        <v>1169</v>
      </c>
      <c r="D510" t="s">
        <v>1411</v>
      </c>
      <c r="E510" s="568" t="s">
        <v>1227</v>
      </c>
      <c r="F510" s="574" t="e">
        <f>F471+F484+F490</f>
        <v>#DIV/0!</v>
      </c>
      <c r="H510" s="559" t="s">
        <v>1401</v>
      </c>
      <c r="I510" s="559" t="s">
        <v>1402</v>
      </c>
      <c r="J510" s="559" t="b">
        <f t="shared" si="11"/>
        <v>1</v>
      </c>
    </row>
    <row r="511" spans="1:10" hidden="1">
      <c r="A511" s="559" t="str">
        <f t="shared" si="13"/>
        <v>Residential_Building Shell_Ceiling/Attic Insulation #2 (Electric Heat)_Remaining Year kW</v>
      </c>
      <c r="B511" t="s">
        <v>1165</v>
      </c>
      <c r="C511" t="s">
        <v>1169</v>
      </c>
      <c r="D511" t="s">
        <v>1411</v>
      </c>
      <c r="E511" s="568" t="s">
        <v>1395</v>
      </c>
      <c r="F511" s="574" t="e">
        <f>F493</f>
        <v>#DIV/0!</v>
      </c>
      <c r="H511" s="559" t="s">
        <v>1401</v>
      </c>
      <c r="I511" s="559" t="s">
        <v>1402</v>
      </c>
      <c r="J511" s="559" t="b">
        <f t="shared" si="11"/>
        <v>1</v>
      </c>
    </row>
    <row r="512" spans="1:10" hidden="1">
      <c r="A512" s="559" t="str">
        <f t="shared" si="13"/>
        <v>Residential_Building Shell_Ceiling/Attic Insulation #2 (Electric Heat)_Coincident Peak kW Saved per Unit</v>
      </c>
      <c r="B512" t="s">
        <v>1165</v>
      </c>
      <c r="C512" t="s">
        <v>1169</v>
      </c>
      <c r="D512" t="s">
        <v>1411</v>
      </c>
      <c r="E512" s="568" t="s">
        <v>1228</v>
      </c>
      <c r="F512" s="574" t="e">
        <f>F494</f>
        <v>#DIV/0!</v>
      </c>
      <c r="H512" s="559" t="s">
        <v>1401</v>
      </c>
      <c r="I512" s="559" t="s">
        <v>1402</v>
      </c>
      <c r="J512" s="559" t="b">
        <f t="shared" si="11"/>
        <v>1</v>
      </c>
    </row>
    <row r="513" spans="1:10" hidden="1">
      <c r="A513" s="559" t="str">
        <f t="shared" si="13"/>
        <v>Residential_Building Shell_Ceiling/Attic Insulation #2 (Electric Heat)_Remaining Year Therms</v>
      </c>
      <c r="B513" t="s">
        <v>1165</v>
      </c>
      <c r="C513" t="s">
        <v>1169</v>
      </c>
      <c r="D513" t="s">
        <v>1411</v>
      </c>
      <c r="E513" s="568" t="s">
        <v>1396</v>
      </c>
      <c r="F513" s="574" t="e">
        <f>F507</f>
        <v>#DIV/0!</v>
      </c>
      <c r="H513" s="559" t="s">
        <v>1401</v>
      </c>
      <c r="I513" s="559" t="s">
        <v>1402</v>
      </c>
      <c r="J513" s="559" t="b">
        <f t="shared" si="11"/>
        <v>1</v>
      </c>
    </row>
    <row r="514" spans="1:10" hidden="1">
      <c r="A514" s="559" t="str">
        <f t="shared" si="13"/>
        <v>Residential_Building Shell_Ceiling/Attic Insulation #2 (Electric Heat)_Therms Saved per Unit</v>
      </c>
      <c r="B514" t="s">
        <v>1165</v>
      </c>
      <c r="C514" t="s">
        <v>1169</v>
      </c>
      <c r="D514" t="s">
        <v>1411</v>
      </c>
      <c r="E514" s="568" t="s">
        <v>1323</v>
      </c>
      <c r="F514" s="574" t="e">
        <f>F508</f>
        <v>#DIV/0!</v>
      </c>
      <c r="H514" s="559" t="s">
        <v>1401</v>
      </c>
      <c r="I514" s="559" t="s">
        <v>1402</v>
      </c>
      <c r="J514" s="559" t="b">
        <f t="shared" si="11"/>
        <v>1</v>
      </c>
    </row>
    <row r="515" spans="1:10" hidden="1">
      <c r="A515" s="559" t="str">
        <f t="shared" si="13"/>
        <v>Residential_Building Shell_Ceiling/Attic Insulation #2 (Electric Heat)_Remaining Life</v>
      </c>
      <c r="B515" t="s">
        <v>1165</v>
      </c>
      <c r="C515" t="s">
        <v>1169</v>
      </c>
      <c r="D515" t="s">
        <v>1411</v>
      </c>
      <c r="E515" s="568" t="s">
        <v>1397</v>
      </c>
      <c r="F515" s="574">
        <v>10</v>
      </c>
      <c r="H515" s="559" t="s">
        <v>1401</v>
      </c>
      <c r="I515" s="559" t="s">
        <v>1402</v>
      </c>
      <c r="J515" s="559" t="b">
        <f t="shared" si="11"/>
        <v>0</v>
      </c>
    </row>
    <row r="516" spans="1:10" hidden="1">
      <c r="A516" s="559" t="str">
        <f t="shared" si="13"/>
        <v>Residential_Building Shell_Ceiling/Attic Insulation #2 (Electric Heat)_Lifetime (years)</v>
      </c>
      <c r="B516" t="s">
        <v>1165</v>
      </c>
      <c r="C516" t="s">
        <v>1169</v>
      </c>
      <c r="D516" t="s">
        <v>1411</v>
      </c>
      <c r="E516" s="568" t="s">
        <v>1231</v>
      </c>
      <c r="F516" s="575">
        <v>30</v>
      </c>
      <c r="H516" s="559" t="s">
        <v>1401</v>
      </c>
      <c r="I516" s="559" t="s">
        <v>1402</v>
      </c>
      <c r="J516" s="559" t="b">
        <f t="shared" si="11"/>
        <v>0</v>
      </c>
    </row>
    <row r="517" spans="1:10" hidden="1">
      <c r="A517" s="559" t="str">
        <f t="shared" si="13"/>
        <v>Residential_Building Shell_Ceiling/Attic Insulation #2 (Electric Heat)_Incremental Cost</v>
      </c>
      <c r="B517" t="s">
        <v>1165</v>
      </c>
      <c r="C517" t="s">
        <v>1169</v>
      </c>
      <c r="D517" t="s">
        <v>1411</v>
      </c>
      <c r="E517" s="568" t="s">
        <v>1232</v>
      </c>
      <c r="F517" s="570">
        <f>0.75*F459</f>
        <v>0</v>
      </c>
      <c r="G517" s="559" t="s">
        <v>1398</v>
      </c>
      <c r="H517" s="559" t="s">
        <v>1401</v>
      </c>
      <c r="I517" s="559" t="s">
        <v>1402</v>
      </c>
      <c r="J517" s="559" t="b">
        <f t="shared" si="11"/>
        <v>1</v>
      </c>
    </row>
    <row r="518" spans="1:10" hidden="1">
      <c r="A518" s="559" t="str">
        <f t="shared" si="13"/>
        <v>Residential_Building Shell_Ceiling/Attic Insulation #2 (Electric Heat)_BTU Impact_Existing_Fossil Fuel</v>
      </c>
      <c r="B518" t="s">
        <v>1165</v>
      </c>
      <c r="C518" t="s">
        <v>1169</v>
      </c>
      <c r="D518" t="s">
        <v>1411</v>
      </c>
      <c r="E518" s="568" t="s">
        <v>1234</v>
      </c>
      <c r="F518" s="569">
        <v>0</v>
      </c>
      <c r="H518" s="559" t="s">
        <v>1401</v>
      </c>
      <c r="I518" s="559" t="s">
        <v>1402</v>
      </c>
      <c r="J518" s="559" t="b">
        <f t="shared" si="11"/>
        <v>0</v>
      </c>
    </row>
    <row r="519" spans="1:10" hidden="1">
      <c r="A519" s="559" t="str">
        <f t="shared" si="13"/>
        <v>Residential_Building Shell_Ceiling/Attic Insulation #2 (Electric Heat)_BTU Impact_Existing_Winter Electricity</v>
      </c>
      <c r="B519" t="s">
        <v>1165</v>
      </c>
      <c r="C519" t="s">
        <v>1169</v>
      </c>
      <c r="D519" t="s">
        <v>1411</v>
      </c>
      <c r="E519" s="568" t="s">
        <v>1235</v>
      </c>
      <c r="F519" s="569">
        <v>0</v>
      </c>
      <c r="H519" s="559" t="s">
        <v>1401</v>
      </c>
      <c r="I519" s="559" t="s">
        <v>1402</v>
      </c>
      <c r="J519" s="559" t="b">
        <f t="shared" si="11"/>
        <v>0</v>
      </c>
    </row>
    <row r="520" spans="1:10" hidden="1">
      <c r="A520" s="559" t="str">
        <f t="shared" si="13"/>
        <v>Residential_Building Shell_Ceiling/Attic Insulation #2 (Electric Heat)_BTU Impact_Existing_Summer Electricity</v>
      </c>
      <c r="B520" t="s">
        <v>1165</v>
      </c>
      <c r="C520" t="s">
        <v>1169</v>
      </c>
      <c r="D520" t="s">
        <v>1411</v>
      </c>
      <c r="E520" s="568" t="s">
        <v>1236</v>
      </c>
      <c r="F520" s="569">
        <v>0</v>
      </c>
      <c r="H520" s="559" t="s">
        <v>1401</v>
      </c>
      <c r="I520" s="559" t="s">
        <v>1402</v>
      </c>
      <c r="J520" s="559" t="b">
        <f t="shared" si="11"/>
        <v>0</v>
      </c>
    </row>
    <row r="521" spans="1:10" hidden="1">
      <c r="A521" s="559" t="str">
        <f t="shared" si="13"/>
        <v>Residential_Building Shell_Ceiling/Attic Insulation #2 (Electric Heat)_BTU Impact_New_Fossil Fuel</v>
      </c>
      <c r="B521" t="s">
        <v>1165</v>
      </c>
      <c r="C521" t="s">
        <v>1169</v>
      </c>
      <c r="D521" t="s">
        <v>1411</v>
      </c>
      <c r="E521" s="568" t="s">
        <v>1237</v>
      </c>
      <c r="F521" s="569">
        <v>0</v>
      </c>
      <c r="H521" s="559" t="s">
        <v>1401</v>
      </c>
      <c r="I521" s="559" t="s">
        <v>1402</v>
      </c>
      <c r="J521" s="559" t="b">
        <f t="shared" si="11"/>
        <v>0</v>
      </c>
    </row>
    <row r="522" spans="1:10" hidden="1">
      <c r="A522" s="559" t="str">
        <f t="shared" si="13"/>
        <v>Residential_Building Shell_Ceiling/Attic Insulation #2 (Electric Heat)_BTU Impact_New_Winter Electricity</v>
      </c>
      <c r="B522" t="s">
        <v>1165</v>
      </c>
      <c r="C522" t="s">
        <v>1169</v>
      </c>
      <c r="D522" t="s">
        <v>1411</v>
      </c>
      <c r="E522" s="568" t="s">
        <v>1238</v>
      </c>
      <c r="F522" s="569" t="e">
        <f>-F483*3412</f>
        <v>#DIV/0!</v>
      </c>
      <c r="H522" s="559" t="s">
        <v>1401</v>
      </c>
      <c r="I522" s="559" t="s">
        <v>1402</v>
      </c>
      <c r="J522" s="559" t="b">
        <f t="shared" si="11"/>
        <v>1</v>
      </c>
    </row>
    <row r="523" spans="1:10" hidden="1">
      <c r="A523" s="559" t="str">
        <f t="shared" si="13"/>
        <v>Residential_Building Shell_Ceiling/Attic Insulation #2 (Electric Heat)_BTU Impact_New_Summer Electricity</v>
      </c>
      <c r="B523" t="s">
        <v>1165</v>
      </c>
      <c r="C523" t="s">
        <v>1169</v>
      </c>
      <c r="D523" t="s">
        <v>1411</v>
      </c>
      <c r="E523" s="568" t="s">
        <v>1239</v>
      </c>
      <c r="F523" s="569" t="e">
        <f>-F470*3412</f>
        <v>#DIV/0!</v>
      </c>
      <c r="H523" s="559" t="s">
        <v>1401</v>
      </c>
      <c r="I523" s="559" t="s">
        <v>1402</v>
      </c>
      <c r="J523" s="559" t="b">
        <f t="shared" si="11"/>
        <v>1</v>
      </c>
    </row>
    <row r="524" spans="1:10" hidden="1">
      <c r="A524" s="559" t="str">
        <f t="shared" si="13"/>
        <v>Residential_Building Shell_Ceiling/Attic Insulation #2 (Electric Heat)_</v>
      </c>
      <c r="B524" t="s">
        <v>1165</v>
      </c>
      <c r="C524" t="s">
        <v>1169</v>
      </c>
      <c r="D524" t="s">
        <v>1411</v>
      </c>
      <c r="H524" s="559" t="s">
        <v>1401</v>
      </c>
      <c r="I524" s="559" t="s">
        <v>1402</v>
      </c>
      <c r="J524" s="559" t="b">
        <f t="shared" si="11"/>
        <v>0</v>
      </c>
    </row>
    <row r="525" spans="1:10" hidden="1">
      <c r="A525" s="559" t="str">
        <f t="shared" si="13"/>
        <v>Residential_Building Shell_Attic Kneewall Insulation #1 (Electric Heat)_R_old</v>
      </c>
      <c r="B525" t="s">
        <v>1165</v>
      </c>
      <c r="C525" t="s">
        <v>1169</v>
      </c>
      <c r="D525" t="s">
        <v>1412</v>
      </c>
      <c r="E525" s="560" t="s">
        <v>1400</v>
      </c>
      <c r="F525" s="571">
        <f>[18]Dashboard_FS!$O$17</f>
        <v>1</v>
      </c>
      <c r="G525" s="559" t="s">
        <v>1187</v>
      </c>
      <c r="H525" s="559" t="s">
        <v>1413</v>
      </c>
      <c r="I525" s="559" t="s">
        <v>1414</v>
      </c>
      <c r="J525" s="559" t="b">
        <f t="shared" si="11"/>
        <v>1</v>
      </c>
    </row>
    <row r="526" spans="1:10" hidden="1">
      <c r="A526" s="559" t="str">
        <f t="shared" si="13"/>
        <v>Residential_Building Shell_Attic Kneewall Insulation #1 (Electric Heat)_R_wall</v>
      </c>
      <c r="B526" t="s">
        <v>1165</v>
      </c>
      <c r="C526" t="s">
        <v>1169</v>
      </c>
      <c r="D526" t="s">
        <v>1412</v>
      </c>
      <c r="E526" s="560" t="s">
        <v>1415</v>
      </c>
      <c r="F526" s="571">
        <f>[18]Dashboard_FS!$P$17</f>
        <v>0</v>
      </c>
      <c r="G526" s="559" t="s">
        <v>1187</v>
      </c>
      <c r="H526" s="559" t="s">
        <v>1413</v>
      </c>
      <c r="I526" s="559" t="s">
        <v>1414</v>
      </c>
      <c r="J526" s="559" t="b">
        <f t="shared" si="11"/>
        <v>1</v>
      </c>
    </row>
    <row r="527" spans="1:10" hidden="1">
      <c r="A527" s="559" t="str">
        <f t="shared" si="13"/>
        <v>Residential_Building Shell_Attic Kneewall Insulation #1 (Electric Heat)_A_wall</v>
      </c>
      <c r="B527" t="s">
        <v>1165</v>
      </c>
      <c r="C527" t="s">
        <v>1169</v>
      </c>
      <c r="D527" t="s">
        <v>1412</v>
      </c>
      <c r="E527" s="560" t="s">
        <v>1416</v>
      </c>
      <c r="F527" s="571">
        <f>[18]Dashboard_FS!$O$6</f>
        <v>0</v>
      </c>
      <c r="G527" s="559" t="s">
        <v>1187</v>
      </c>
      <c r="H527" s="559" t="s">
        <v>1413</v>
      </c>
      <c r="I527" s="559" t="s">
        <v>1414</v>
      </c>
      <c r="J527" s="559" t="b">
        <f t="shared" si="11"/>
        <v>1</v>
      </c>
    </row>
    <row r="528" spans="1:10" hidden="1">
      <c r="A528" s="559" t="str">
        <f t="shared" si="13"/>
        <v>Residential_Building Shell_Attic Kneewall Insulation #1 (Electric Heat)_Framing_factor_wall</v>
      </c>
      <c r="B528" t="s">
        <v>1165</v>
      </c>
      <c r="C528" t="s">
        <v>1169</v>
      </c>
      <c r="D528" t="s">
        <v>1412</v>
      </c>
      <c r="E528" s="562" t="s">
        <v>1417</v>
      </c>
      <c r="F528" s="572">
        <v>0.25</v>
      </c>
      <c r="H528" s="559" t="s">
        <v>1413</v>
      </c>
      <c r="I528" s="559" t="s">
        <v>1414</v>
      </c>
      <c r="J528" s="559" t="b">
        <f t="shared" si="11"/>
        <v>0</v>
      </c>
    </row>
    <row r="529" spans="1:10" hidden="1">
      <c r="A529" s="559" t="str">
        <f t="shared" si="13"/>
        <v>Residential_Building Shell_Attic Kneewall Insulation #1 (Electric Heat)_24</v>
      </c>
      <c r="B529" t="s">
        <v>1165</v>
      </c>
      <c r="C529" t="s">
        <v>1169</v>
      </c>
      <c r="D529" t="s">
        <v>1412</v>
      </c>
      <c r="E529" s="562">
        <v>24</v>
      </c>
      <c r="F529" s="572">
        <v>24</v>
      </c>
      <c r="H529" s="559" t="s">
        <v>1413</v>
      </c>
      <c r="I529" s="559" t="s">
        <v>1414</v>
      </c>
      <c r="J529" s="559" t="b">
        <f t="shared" si="11"/>
        <v>0</v>
      </c>
    </row>
    <row r="530" spans="1:10" hidden="1">
      <c r="A530" s="559" t="str">
        <f t="shared" si="13"/>
        <v>Residential_Building Shell_Attic Kneewall Insulation #1 (Electric Heat)_CDD</v>
      </c>
      <c r="B530" t="s">
        <v>1165</v>
      </c>
      <c r="C530" t="s">
        <v>1169</v>
      </c>
      <c r="D530" t="s">
        <v>1412</v>
      </c>
      <c r="E530" s="562" t="s">
        <v>1368</v>
      </c>
      <c r="F530" s="582" t="e">
        <f>INDEX('[18]CZ Inputs'!G:G,MATCH(A530&amp;"_"&amp;[18]Dashboard_EE!$K$3,'[18]CZ Inputs'!A:A,0))</f>
        <v>#N/A</v>
      </c>
      <c r="G530" s="559" t="s">
        <v>1369</v>
      </c>
      <c r="H530" s="559" t="s">
        <v>1413</v>
      </c>
      <c r="I530" s="559" t="s">
        <v>1414</v>
      </c>
      <c r="J530" s="559" t="b">
        <f t="shared" si="11"/>
        <v>1</v>
      </c>
    </row>
    <row r="531" spans="1:10" hidden="1">
      <c r="A531" s="559" t="str">
        <f t="shared" si="13"/>
        <v>Residential_Building Shell_Attic Kneewall Insulation #1 (Electric Heat)_DUA</v>
      </c>
      <c r="B531" t="s">
        <v>1165</v>
      </c>
      <c r="C531" t="s">
        <v>1169</v>
      </c>
      <c r="D531" t="s">
        <v>1412</v>
      </c>
      <c r="E531" s="562" t="s">
        <v>1370</v>
      </c>
      <c r="F531" s="572">
        <v>0.75</v>
      </c>
      <c r="H531" s="559" t="s">
        <v>1413</v>
      </c>
      <c r="I531" s="559" t="s">
        <v>1414</v>
      </c>
      <c r="J531" s="559" t="b">
        <f t="shared" si="11"/>
        <v>0</v>
      </c>
    </row>
    <row r="532" spans="1:10" hidden="1">
      <c r="A532" s="559" t="str">
        <f t="shared" si="13"/>
        <v>Residential_Building Shell_Attic Kneewall Insulation #1 (Electric Heat)_1000</v>
      </c>
      <c r="B532" t="s">
        <v>1165</v>
      </c>
      <c r="C532" t="s">
        <v>1169</v>
      </c>
      <c r="D532" t="s">
        <v>1412</v>
      </c>
      <c r="E532" s="562">
        <v>1000</v>
      </c>
      <c r="F532" s="572">
        <v>1000</v>
      </c>
      <c r="H532" s="559" t="s">
        <v>1413</v>
      </c>
      <c r="I532" s="559" t="s">
        <v>1414</v>
      </c>
      <c r="J532" s="559" t="b">
        <f t="shared" si="11"/>
        <v>0</v>
      </c>
    </row>
    <row r="533" spans="1:10" hidden="1">
      <c r="A533" s="559" t="str">
        <f t="shared" si="13"/>
        <v>Residential_Building Shell_Attic Kneewall Insulation #1 (Electric Heat)_ηCool</v>
      </c>
      <c r="B533" t="s">
        <v>1165</v>
      </c>
      <c r="C533" t="s">
        <v>1169</v>
      </c>
      <c r="D533" t="s">
        <v>1412</v>
      </c>
      <c r="E533" s="560" t="s">
        <v>1371</v>
      </c>
      <c r="F533" s="571" t="e">
        <f>[18]Dashboard_FS!$K$13</f>
        <v>#REF!</v>
      </c>
      <c r="G533" s="559" t="s">
        <v>1187</v>
      </c>
      <c r="H533" s="559" t="s">
        <v>1413</v>
      </c>
      <c r="I533" s="559" t="s">
        <v>1414</v>
      </c>
      <c r="J533" s="559" t="b">
        <f t="shared" si="11"/>
        <v>1</v>
      </c>
    </row>
    <row r="534" spans="1:10" hidden="1">
      <c r="A534" s="559" t="str">
        <f t="shared" si="13"/>
        <v>Residential_Building Shell_Attic Kneewall Insulation #1 (Electric Heat)_ηCool_Mid-Life_Adj</v>
      </c>
      <c r="B534" t="s">
        <v>1165</v>
      </c>
      <c r="C534" t="s">
        <v>1169</v>
      </c>
      <c r="D534" t="s">
        <v>1412</v>
      </c>
      <c r="E534" s="560" t="s">
        <v>1372</v>
      </c>
      <c r="F534" s="571" t="e">
        <f>[18]Dashboard_FS!$K$13</f>
        <v>#REF!</v>
      </c>
      <c r="G534" s="559" t="s">
        <v>1187</v>
      </c>
      <c r="H534" s="559" t="s">
        <v>1413</v>
      </c>
      <c r="I534" s="559" t="s">
        <v>1414</v>
      </c>
      <c r="J534" s="559" t="b">
        <f t="shared" si="11"/>
        <v>1</v>
      </c>
    </row>
    <row r="535" spans="1:10" hidden="1">
      <c r="A535" s="559" t="str">
        <f t="shared" si="13"/>
        <v>Residential_Building Shell_Attic Kneewall Insulation #1 (Electric Heat)_ADJWallCool</v>
      </c>
      <c r="B535" t="s">
        <v>1165</v>
      </c>
      <c r="C535" t="s">
        <v>1169</v>
      </c>
      <c r="D535" t="s">
        <v>1412</v>
      </c>
      <c r="E535" s="562" t="s">
        <v>1418</v>
      </c>
      <c r="F535" s="582">
        <v>0.75</v>
      </c>
      <c r="H535" s="559" t="s">
        <v>1413</v>
      </c>
      <c r="I535" s="559" t="s">
        <v>1414</v>
      </c>
      <c r="J535" s="559" t="b">
        <f t="shared" si="11"/>
        <v>0</v>
      </c>
    </row>
    <row r="536" spans="1:10" hidden="1">
      <c r="A536" s="559" t="str">
        <f t="shared" si="13"/>
        <v>Residential_Building Shell_Attic Kneewall Insulation #1 (Electric Heat)_%Cool</v>
      </c>
      <c r="B536" t="s">
        <v>1165</v>
      </c>
      <c r="C536" t="s">
        <v>1169</v>
      </c>
      <c r="D536" t="s">
        <v>1412</v>
      </c>
      <c r="E536" s="562" t="s">
        <v>1344</v>
      </c>
      <c r="F536" s="572">
        <v>1</v>
      </c>
      <c r="H536" s="559" t="s">
        <v>1413</v>
      </c>
      <c r="I536" s="559" t="s">
        <v>1414</v>
      </c>
      <c r="J536" s="559" t="b">
        <f t="shared" si="11"/>
        <v>0</v>
      </c>
    </row>
    <row r="537" spans="1:10" hidden="1">
      <c r="A537" s="559" t="str">
        <f t="shared" si="13"/>
        <v>Residential_Building Shell_Attic Kneewall Insulation #1 (Electric Heat)_Delta_kWh_cooling</v>
      </c>
      <c r="B537" t="s">
        <v>1165</v>
      </c>
      <c r="C537" t="s">
        <v>1169</v>
      </c>
      <c r="D537" t="s">
        <v>1412</v>
      </c>
      <c r="E537" s="560" t="s">
        <v>1377</v>
      </c>
      <c r="F537" s="571" t="e">
        <f xml:space="preserve"> ((((1/ F525 - 1/ F526) * F527 * (1 - F528)) * F529 * F530 * F531) / (F532 * F533)) * F535 * F536</f>
        <v>#DIV/0!</v>
      </c>
      <c r="H537" s="559" t="s">
        <v>1413</v>
      </c>
      <c r="I537" s="559" t="s">
        <v>1414</v>
      </c>
      <c r="J537" s="559" t="b">
        <f t="shared" si="11"/>
        <v>1</v>
      </c>
    </row>
    <row r="538" spans="1:10" hidden="1">
      <c r="A538" s="559" t="str">
        <f t="shared" si="13"/>
        <v>Residential_Building Shell_Attic Kneewall Insulation #1 (Electric Heat)_Delta_kWh_cooling_Mid-Life_Adj</v>
      </c>
      <c r="B538" t="s">
        <v>1165</v>
      </c>
      <c r="C538" t="s">
        <v>1169</v>
      </c>
      <c r="D538" t="s">
        <v>1412</v>
      </c>
      <c r="E538" s="560" t="s">
        <v>1378</v>
      </c>
      <c r="F538" s="571" t="e">
        <f xml:space="preserve"> ((((1/ F525 - 1/ F526) * F527 * (1 - F528)) * F529 * F530 * F531) / (F532 * F534)) * F535 * F536</f>
        <v>#DIV/0!</v>
      </c>
      <c r="H538" s="559" t="s">
        <v>1413</v>
      </c>
      <c r="I538" s="559" t="s">
        <v>1414</v>
      </c>
      <c r="J538" s="559" t="b">
        <f t="shared" si="11"/>
        <v>1</v>
      </c>
    </row>
    <row r="539" spans="1:10" hidden="1">
      <c r="A539" s="559" t="str">
        <f t="shared" si="13"/>
        <v>Residential_Building Shell_Attic Kneewall Insulation #1 (Electric Heat)_R_old</v>
      </c>
      <c r="B539" t="s">
        <v>1165</v>
      </c>
      <c r="C539" t="s">
        <v>1169</v>
      </c>
      <c r="D539" t="s">
        <v>1412</v>
      </c>
      <c r="E539" s="560" t="s">
        <v>1400</v>
      </c>
      <c r="F539" s="571">
        <f>[18]Dashboard_FS!$O$17</f>
        <v>1</v>
      </c>
      <c r="G539" s="559" t="s">
        <v>1187</v>
      </c>
      <c r="H539" s="559" t="s">
        <v>1413</v>
      </c>
      <c r="I539" s="559" t="s">
        <v>1414</v>
      </c>
      <c r="J539" s="559" t="b">
        <f t="shared" si="11"/>
        <v>1</v>
      </c>
    </row>
    <row r="540" spans="1:10" hidden="1">
      <c r="A540" s="559" t="str">
        <f t="shared" si="13"/>
        <v>Residential_Building Shell_Attic Kneewall Insulation #1 (Electric Heat)_R_wall</v>
      </c>
      <c r="B540" t="s">
        <v>1165</v>
      </c>
      <c r="C540" t="s">
        <v>1169</v>
      </c>
      <c r="D540" t="s">
        <v>1412</v>
      </c>
      <c r="E540" s="560" t="s">
        <v>1415</v>
      </c>
      <c r="F540" s="571">
        <f>[18]Dashboard_FS!$P$17</f>
        <v>0</v>
      </c>
      <c r="G540" s="559" t="s">
        <v>1187</v>
      </c>
      <c r="H540" s="559" t="s">
        <v>1413</v>
      </c>
      <c r="I540" s="559" t="s">
        <v>1414</v>
      </c>
      <c r="J540" s="559" t="b">
        <f t="shared" si="11"/>
        <v>1</v>
      </c>
    </row>
    <row r="541" spans="1:10" hidden="1">
      <c r="A541" s="559" t="str">
        <f t="shared" si="13"/>
        <v>Residential_Building Shell_Attic Kneewall Insulation #1 (Electric Heat)_A_wall</v>
      </c>
      <c r="B541" t="s">
        <v>1165</v>
      </c>
      <c r="C541" t="s">
        <v>1169</v>
      </c>
      <c r="D541" t="s">
        <v>1412</v>
      </c>
      <c r="E541" s="560" t="s">
        <v>1416</v>
      </c>
      <c r="F541" s="571">
        <f>[18]Dashboard_FS!$O$6</f>
        <v>0</v>
      </c>
      <c r="G541" s="559" t="s">
        <v>1187</v>
      </c>
      <c r="H541" s="559" t="s">
        <v>1413</v>
      </c>
      <c r="I541" s="559" t="s">
        <v>1414</v>
      </c>
      <c r="J541" s="559" t="b">
        <f t="shared" si="11"/>
        <v>1</v>
      </c>
    </row>
    <row r="542" spans="1:10" hidden="1">
      <c r="A542" s="559" t="str">
        <f t="shared" si="13"/>
        <v>Residential_Building Shell_Attic Kneewall Insulation #1 (Electric Heat)_Framing_factor_wall</v>
      </c>
      <c r="B542" t="s">
        <v>1165</v>
      </c>
      <c r="C542" t="s">
        <v>1169</v>
      </c>
      <c r="D542" t="s">
        <v>1412</v>
      </c>
      <c r="E542" s="562" t="s">
        <v>1417</v>
      </c>
      <c r="F542" s="572">
        <v>0.25</v>
      </c>
      <c r="H542" s="559" t="s">
        <v>1413</v>
      </c>
      <c r="I542" s="559" t="s">
        <v>1414</v>
      </c>
      <c r="J542" s="559" t="b">
        <f t="shared" si="11"/>
        <v>0</v>
      </c>
    </row>
    <row r="543" spans="1:10" hidden="1">
      <c r="A543" s="559" t="str">
        <f t="shared" si="13"/>
        <v>Residential_Building Shell_Attic Kneewall Insulation #1 (Electric Heat)_24</v>
      </c>
      <c r="B543" t="s">
        <v>1165</v>
      </c>
      <c r="C543" t="s">
        <v>1169</v>
      </c>
      <c r="D543" t="s">
        <v>1412</v>
      </c>
      <c r="E543" s="562">
        <v>24</v>
      </c>
      <c r="F543" s="572">
        <v>24</v>
      </c>
      <c r="H543" s="559" t="s">
        <v>1413</v>
      </c>
      <c r="I543" s="559" t="s">
        <v>1414</v>
      </c>
      <c r="J543" s="559" t="b">
        <f t="shared" si="11"/>
        <v>0</v>
      </c>
    </row>
    <row r="544" spans="1:10" hidden="1">
      <c r="A544" s="559" t="str">
        <f t="shared" si="13"/>
        <v>Residential_Building Shell_Attic Kneewall Insulation #1 (Electric Heat)_HDD</v>
      </c>
      <c r="B544" t="s">
        <v>1165</v>
      </c>
      <c r="C544" t="s">
        <v>1169</v>
      </c>
      <c r="D544" t="s">
        <v>1412</v>
      </c>
      <c r="E544" s="562" t="s">
        <v>1380</v>
      </c>
      <c r="F544" s="582" t="e">
        <f>INDEX('[18]CZ Inputs'!G:G,MATCH(A544&amp;"_"&amp;[18]Dashboard_EE!$K$3,'[18]CZ Inputs'!A:A,0))</f>
        <v>#N/A</v>
      </c>
      <c r="G544" s="559" t="s">
        <v>1369</v>
      </c>
      <c r="H544" s="559" t="s">
        <v>1413</v>
      </c>
      <c r="I544" s="559" t="s">
        <v>1414</v>
      </c>
      <c r="J544" s="559" t="b">
        <f t="shared" si="11"/>
        <v>1</v>
      </c>
    </row>
    <row r="545" spans="1:10" hidden="1">
      <c r="A545" s="559" t="str">
        <f t="shared" si="13"/>
        <v>Residential_Building Shell_Attic Kneewall Insulation #1 (Electric Heat)_ηHeat</v>
      </c>
      <c r="B545" t="s">
        <v>1165</v>
      </c>
      <c r="C545" t="s">
        <v>1169</v>
      </c>
      <c r="D545" t="s">
        <v>1412</v>
      </c>
      <c r="E545" s="560" t="s">
        <v>1381</v>
      </c>
      <c r="F545" s="571" t="e">
        <f>[18]Dashboard_FS!$K$6</f>
        <v>#REF!</v>
      </c>
      <c r="G545" s="559" t="s">
        <v>1187</v>
      </c>
      <c r="H545" s="559" t="s">
        <v>1413</v>
      </c>
      <c r="I545" s="559" t="s">
        <v>1414</v>
      </c>
      <c r="J545" s="559" t="b">
        <f t="shared" si="11"/>
        <v>1</v>
      </c>
    </row>
    <row r="546" spans="1:10" hidden="1">
      <c r="A546" s="559" t="str">
        <f t="shared" si="13"/>
        <v>Residential_Building Shell_Attic Kneewall Insulation #1 (Electric Heat)_ηHeat_Mid-Life_Adj</v>
      </c>
      <c r="B546" t="s">
        <v>1165</v>
      </c>
      <c r="C546" t="s">
        <v>1169</v>
      </c>
      <c r="D546" t="s">
        <v>1412</v>
      </c>
      <c r="E546" s="560" t="s">
        <v>1382</v>
      </c>
      <c r="F546" s="571" t="e">
        <f>[18]Dashboard_FS!$K$6</f>
        <v>#REF!</v>
      </c>
      <c r="G546" s="559" t="s">
        <v>1187</v>
      </c>
      <c r="H546" s="559" t="s">
        <v>1413</v>
      </c>
      <c r="I546" s="559" t="s">
        <v>1414</v>
      </c>
      <c r="J546" s="559" t="b">
        <f t="shared" si="11"/>
        <v>1</v>
      </c>
    </row>
    <row r="547" spans="1:10" hidden="1">
      <c r="A547" s="559" t="str">
        <f t="shared" si="13"/>
        <v>Residential_Building Shell_Attic Kneewall Insulation #1 (Electric Heat)_3412</v>
      </c>
      <c r="B547" t="s">
        <v>1165</v>
      </c>
      <c r="C547" t="s">
        <v>1169</v>
      </c>
      <c r="D547" t="s">
        <v>1412</v>
      </c>
      <c r="E547" s="562">
        <v>3412</v>
      </c>
      <c r="F547" s="572">
        <v>3412</v>
      </c>
      <c r="H547" s="559" t="s">
        <v>1413</v>
      </c>
      <c r="I547" s="559" t="s">
        <v>1414</v>
      </c>
      <c r="J547" s="559" t="b">
        <f t="shared" si="11"/>
        <v>0</v>
      </c>
    </row>
    <row r="548" spans="1:10" hidden="1">
      <c r="A548" s="559" t="str">
        <f t="shared" si="13"/>
        <v>Residential_Building Shell_Attic Kneewall Insulation #1 (Electric Heat)_ADJWallHeat</v>
      </c>
      <c r="B548" t="s">
        <v>1165</v>
      </c>
      <c r="C548" t="s">
        <v>1169</v>
      </c>
      <c r="D548" t="s">
        <v>1412</v>
      </c>
      <c r="E548" s="562" t="s">
        <v>1419</v>
      </c>
      <c r="F548" s="582">
        <v>0.63</v>
      </c>
      <c r="H548" s="559" t="s">
        <v>1413</v>
      </c>
      <c r="I548" s="559" t="s">
        <v>1414</v>
      </c>
      <c r="J548" s="559" t="b">
        <f t="shared" si="11"/>
        <v>0</v>
      </c>
    </row>
    <row r="549" spans="1:10" hidden="1">
      <c r="A549" s="559" t="str">
        <f t="shared" si="13"/>
        <v>Residential_Building Shell_Attic Kneewall Insulation #1 (Electric Heat)_%ElectricHeat</v>
      </c>
      <c r="B549" t="s">
        <v>1165</v>
      </c>
      <c r="C549" t="s">
        <v>1169</v>
      </c>
      <c r="D549" t="s">
        <v>1412</v>
      </c>
      <c r="E549" s="562" t="s">
        <v>1349</v>
      </c>
      <c r="F549" s="572">
        <v>1</v>
      </c>
      <c r="G549" s="559" t="s">
        <v>1383</v>
      </c>
      <c r="H549" s="559" t="s">
        <v>1413</v>
      </c>
      <c r="I549" s="559" t="s">
        <v>1414</v>
      </c>
      <c r="J549" s="559" t="b">
        <f t="shared" si="11"/>
        <v>0</v>
      </c>
    </row>
    <row r="550" spans="1:10" hidden="1">
      <c r="A550" s="559" t="str">
        <f t="shared" si="13"/>
        <v>Residential_Building Shell_Attic Kneewall Insulation #1 (Electric Heat)_Delta_kWh_heatingElectric</v>
      </c>
      <c r="B550" t="s">
        <v>1165</v>
      </c>
      <c r="C550" t="s">
        <v>1169</v>
      </c>
      <c r="D550" t="s">
        <v>1412</v>
      </c>
      <c r="E550" s="560" t="s">
        <v>1384</v>
      </c>
      <c r="F550" s="571" t="e">
        <f xml:space="preserve"> (((1/ F539 - 1/ F540) * F541 * (1 - F542) * F543 * F544) / (F545 * F547)) * F548 * F549</f>
        <v>#DIV/0!</v>
      </c>
      <c r="H550" s="559" t="s">
        <v>1413</v>
      </c>
      <c r="I550" s="559" t="s">
        <v>1414</v>
      </c>
      <c r="J550" s="559" t="b">
        <f t="shared" si="11"/>
        <v>1</v>
      </c>
    </row>
    <row r="551" spans="1:10" hidden="1">
      <c r="A551" s="559" t="str">
        <f t="shared" si="13"/>
        <v>Residential_Building Shell_Attic Kneewall Insulation #1 (Electric Heat)_Delta_kWh_heatingElectric_Mid-Life_Adj</v>
      </c>
      <c r="B551" t="s">
        <v>1165</v>
      </c>
      <c r="C551" t="s">
        <v>1169</v>
      </c>
      <c r="D551" t="s">
        <v>1412</v>
      </c>
      <c r="E551" s="560" t="s">
        <v>1385</v>
      </c>
      <c r="F551" s="571" t="e">
        <f xml:space="preserve"> (((1/ F539 - 1/ F540) * F541 * (1 - F542) * F543 * F544) / (F546 * F547)) * F548 * F549</f>
        <v>#DIV/0!</v>
      </c>
      <c r="H551" s="559" t="s">
        <v>1413</v>
      </c>
      <c r="I551" s="559" t="s">
        <v>1414</v>
      </c>
      <c r="J551" s="559" t="b">
        <f t="shared" si="11"/>
        <v>1</v>
      </c>
    </row>
    <row r="552" spans="1:10" hidden="1">
      <c r="A552" s="559" t="str">
        <f t="shared" si="13"/>
        <v>Residential_Building Shell_Attic Kneewall Insulation #1 (Electric Heat)_Delta_Therms</v>
      </c>
      <c r="B552" t="s">
        <v>1165</v>
      </c>
      <c r="C552" t="s">
        <v>1169</v>
      </c>
      <c r="D552" t="s">
        <v>1412</v>
      </c>
      <c r="E552" s="560" t="s">
        <v>1301</v>
      </c>
      <c r="F552" s="571" t="e">
        <f>F573</f>
        <v>#DIV/0!</v>
      </c>
      <c r="H552" s="559" t="s">
        <v>1413</v>
      </c>
      <c r="I552" s="559" t="s">
        <v>1414</v>
      </c>
      <c r="J552" s="559" t="b">
        <f t="shared" si="11"/>
        <v>1</v>
      </c>
    </row>
    <row r="553" spans="1:10" hidden="1">
      <c r="A553" s="559" t="str">
        <f t="shared" si="13"/>
        <v>Residential_Building Shell_Attic Kneewall Insulation #1 (Electric Heat)_Delta_Therms_Mid-Life_Adj</v>
      </c>
      <c r="B553" t="s">
        <v>1165</v>
      </c>
      <c r="C553" t="s">
        <v>1169</v>
      </c>
      <c r="D553" t="s">
        <v>1412</v>
      </c>
      <c r="E553" s="560" t="s">
        <v>1420</v>
      </c>
      <c r="F553" s="571" t="e">
        <f>F574</f>
        <v>#DIV/0!</v>
      </c>
      <c r="H553" s="559" t="s">
        <v>1413</v>
      </c>
      <c r="I553" s="559" t="s">
        <v>1414</v>
      </c>
      <c r="J553" s="559" t="b">
        <f t="shared" si="11"/>
        <v>1</v>
      </c>
    </row>
    <row r="554" spans="1:10" hidden="1">
      <c r="A554" s="559" t="str">
        <f t="shared" si="13"/>
        <v>Residential_Building Shell_Attic Kneewall Insulation #1 (Electric Heat)_Fe</v>
      </c>
      <c r="B554" t="s">
        <v>1165</v>
      </c>
      <c r="C554" t="s">
        <v>1169</v>
      </c>
      <c r="D554" t="s">
        <v>1412</v>
      </c>
      <c r="E554" s="562" t="s">
        <v>1198</v>
      </c>
      <c r="F554" s="572">
        <v>3.1399999999999997E-2</v>
      </c>
      <c r="H554" s="559" t="s">
        <v>1413</v>
      </c>
      <c r="I554" s="559" t="s">
        <v>1414</v>
      </c>
      <c r="J554" s="559" t="b">
        <f t="shared" si="11"/>
        <v>0</v>
      </c>
    </row>
    <row r="555" spans="1:10" hidden="1">
      <c r="A555" s="559" t="str">
        <f t="shared" si="13"/>
        <v>Residential_Building Shell_Attic Kneewall Insulation #1 (Electric Heat)_29.3</v>
      </c>
      <c r="B555" t="s">
        <v>1165</v>
      </c>
      <c r="C555" t="s">
        <v>1169</v>
      </c>
      <c r="D555" t="s">
        <v>1412</v>
      </c>
      <c r="E555" s="562">
        <v>29.3</v>
      </c>
      <c r="F555" s="572">
        <v>29.3</v>
      </c>
      <c r="H555" s="559" t="s">
        <v>1413</v>
      </c>
      <c r="I555" s="559" t="s">
        <v>1414</v>
      </c>
      <c r="J555" s="559" t="b">
        <f t="shared" si="11"/>
        <v>0</v>
      </c>
    </row>
    <row r="556" spans="1:10" hidden="1">
      <c r="A556" s="559" t="str">
        <f t="shared" si="13"/>
        <v>Residential_Building Shell_Attic Kneewall Insulation #1 (Electric Heat)_Delta_kWh_heatingGas</v>
      </c>
      <c r="B556" t="s">
        <v>1165</v>
      </c>
      <c r="C556" t="s">
        <v>1169</v>
      </c>
      <c r="D556" t="s">
        <v>1412</v>
      </c>
      <c r="E556" s="560" t="s">
        <v>1387</v>
      </c>
      <c r="F556" s="571" t="e">
        <f>F552*F554*F555</f>
        <v>#DIV/0!</v>
      </c>
      <c r="H556" s="559" t="s">
        <v>1413</v>
      </c>
      <c r="I556" s="559" t="s">
        <v>1414</v>
      </c>
      <c r="J556" s="559" t="b">
        <f t="shared" si="11"/>
        <v>1</v>
      </c>
    </row>
    <row r="557" spans="1:10" hidden="1">
      <c r="A557" s="559" t="str">
        <f t="shared" si="13"/>
        <v>Residential_Building Shell_Attic Kneewall Insulation #1 (Electric Heat)_Delta_kWh_heatingGas_Mid-Life_Adj</v>
      </c>
      <c r="B557" t="s">
        <v>1165</v>
      </c>
      <c r="C557" t="s">
        <v>1169</v>
      </c>
      <c r="D557" t="s">
        <v>1412</v>
      </c>
      <c r="E557" s="560" t="s">
        <v>1388</v>
      </c>
      <c r="F557" s="571" t="e">
        <f>F553*F554*F555</f>
        <v>#DIV/0!</v>
      </c>
      <c r="H557" s="559" t="s">
        <v>1413</v>
      </c>
      <c r="I557" s="559" t="s">
        <v>1414</v>
      </c>
      <c r="J557" s="559" t="b">
        <f t="shared" si="11"/>
        <v>1</v>
      </c>
    </row>
    <row r="558" spans="1:10" hidden="1">
      <c r="A558" s="559" t="str">
        <f t="shared" si="13"/>
        <v>Residential_Building Shell_Attic Kneewall Insulation #1 (Electric Heat)_FLH_cooling</v>
      </c>
      <c r="B558" t="s">
        <v>1165</v>
      </c>
      <c r="C558" t="s">
        <v>1169</v>
      </c>
      <c r="D558" t="s">
        <v>1412</v>
      </c>
      <c r="E558" s="562" t="s">
        <v>1389</v>
      </c>
      <c r="F558" s="582" t="e">
        <f>INDEX('[18]CZ Inputs'!G:G,MATCH(A558&amp;"_"&amp;[18]Dashboard_EE!$K$3,'[18]CZ Inputs'!A:A,0))</f>
        <v>#N/A</v>
      </c>
      <c r="G558" s="559" t="s">
        <v>1369</v>
      </c>
      <c r="H558" s="559" t="s">
        <v>1413</v>
      </c>
      <c r="I558" s="559" t="s">
        <v>1414</v>
      </c>
      <c r="J558" s="559" t="b">
        <f t="shared" si="11"/>
        <v>1</v>
      </c>
    </row>
    <row r="559" spans="1:10" hidden="1">
      <c r="A559" s="559" t="str">
        <f t="shared" si="13"/>
        <v>Residential_Building Shell_Attic Kneewall Insulation #1 (Electric Heat)_CF</v>
      </c>
      <c r="B559" t="s">
        <v>1165</v>
      </c>
      <c r="C559" t="s">
        <v>1169</v>
      </c>
      <c r="D559" t="s">
        <v>1412</v>
      </c>
      <c r="E559" s="562" t="s">
        <v>1224</v>
      </c>
      <c r="F559" s="572">
        <v>0.68</v>
      </c>
      <c r="G559" s="559" t="s">
        <v>1266</v>
      </c>
      <c r="H559" s="559" t="s">
        <v>1413</v>
      </c>
      <c r="I559" s="559" t="s">
        <v>1414</v>
      </c>
      <c r="J559" s="559" t="b">
        <f t="shared" si="11"/>
        <v>0</v>
      </c>
    </row>
    <row r="560" spans="1:10" hidden="1">
      <c r="A560" s="559" t="str">
        <f t="shared" si="13"/>
        <v>Residential_Building Shell_Attic Kneewall Insulation #1 (Electric Heat)_Delta_kW</v>
      </c>
      <c r="B560" t="s">
        <v>1165</v>
      </c>
      <c r="C560" t="s">
        <v>1169</v>
      </c>
      <c r="D560" t="s">
        <v>1412</v>
      </c>
      <c r="E560" s="560" t="s">
        <v>1226</v>
      </c>
      <c r="F560" s="571" t="e">
        <f>(F537/F558)*F559</f>
        <v>#DIV/0!</v>
      </c>
      <c r="H560" s="559" t="s">
        <v>1413</v>
      </c>
      <c r="I560" s="559" t="s">
        <v>1414</v>
      </c>
      <c r="J560" s="559" t="b">
        <f t="shared" si="11"/>
        <v>1</v>
      </c>
    </row>
    <row r="561" spans="1:10" hidden="1">
      <c r="A561" s="559" t="str">
        <f t="shared" si="13"/>
        <v>Residential_Building Shell_Attic Kneewall Insulation #1 (Electric Heat)_Delta_kW_Mid-Life_Adj</v>
      </c>
      <c r="B561" t="s">
        <v>1165</v>
      </c>
      <c r="C561" t="s">
        <v>1169</v>
      </c>
      <c r="D561" t="s">
        <v>1412</v>
      </c>
      <c r="E561" s="560" t="s">
        <v>1390</v>
      </c>
      <c r="F561" s="571" t="e">
        <f>(F538/F558)*F559</f>
        <v>#DIV/0!</v>
      </c>
      <c r="H561" s="559" t="s">
        <v>1413</v>
      </c>
      <c r="I561" s="559" t="s">
        <v>1414</v>
      </c>
      <c r="J561" s="559" t="b">
        <f t="shared" si="11"/>
        <v>1</v>
      </c>
    </row>
    <row r="562" spans="1:10" hidden="1">
      <c r="A562" s="559" t="str">
        <f t="shared" si="13"/>
        <v>Residential_Building Shell_Attic Kneewall Insulation #1 (Electric Heat)_R_old</v>
      </c>
      <c r="B562" t="s">
        <v>1165</v>
      </c>
      <c r="C562" t="s">
        <v>1169</v>
      </c>
      <c r="D562" t="s">
        <v>1412</v>
      </c>
      <c r="E562" s="560" t="s">
        <v>1400</v>
      </c>
      <c r="F562" s="571">
        <f>[18]Dashboard_FS!$O$17</f>
        <v>1</v>
      </c>
      <c r="G562" s="559" t="s">
        <v>1187</v>
      </c>
      <c r="H562" s="559" t="s">
        <v>1413</v>
      </c>
      <c r="I562" s="559" t="s">
        <v>1414</v>
      </c>
      <c r="J562" s="559" t="b">
        <f t="shared" si="11"/>
        <v>1</v>
      </c>
    </row>
    <row r="563" spans="1:10" hidden="1">
      <c r="A563" s="559" t="str">
        <f t="shared" si="13"/>
        <v>Residential_Building Shell_Attic Kneewall Insulation #1 (Electric Heat)_R_wall</v>
      </c>
      <c r="B563" t="s">
        <v>1165</v>
      </c>
      <c r="C563" t="s">
        <v>1169</v>
      </c>
      <c r="D563" t="s">
        <v>1412</v>
      </c>
      <c r="E563" s="560" t="s">
        <v>1415</v>
      </c>
      <c r="F563" s="571">
        <f>[18]Dashboard_FS!$P$17</f>
        <v>0</v>
      </c>
      <c r="G563" s="559" t="s">
        <v>1187</v>
      </c>
      <c r="H563" s="559" t="s">
        <v>1413</v>
      </c>
      <c r="I563" s="559" t="s">
        <v>1414</v>
      </c>
      <c r="J563" s="559" t="b">
        <f t="shared" si="11"/>
        <v>1</v>
      </c>
    </row>
    <row r="564" spans="1:10" hidden="1">
      <c r="A564" s="559" t="str">
        <f t="shared" si="13"/>
        <v>Residential_Building Shell_Attic Kneewall Insulation #1 (Electric Heat)_A_wall</v>
      </c>
      <c r="B564" t="s">
        <v>1165</v>
      </c>
      <c r="C564" t="s">
        <v>1169</v>
      </c>
      <c r="D564" t="s">
        <v>1412</v>
      </c>
      <c r="E564" s="560" t="s">
        <v>1416</v>
      </c>
      <c r="F564" s="571">
        <f>[18]Dashboard_FS!$O$6</f>
        <v>0</v>
      </c>
      <c r="G564" s="559" t="s">
        <v>1187</v>
      </c>
      <c r="H564" s="559" t="s">
        <v>1413</v>
      </c>
      <c r="I564" s="559" t="s">
        <v>1414</v>
      </c>
      <c r="J564" s="559" t="b">
        <f t="shared" si="11"/>
        <v>1</v>
      </c>
    </row>
    <row r="565" spans="1:10" hidden="1">
      <c r="A565" s="559" t="str">
        <f t="shared" si="13"/>
        <v>Residential_Building Shell_Attic Kneewall Insulation #1 (Electric Heat)_Framing_factor_wall</v>
      </c>
      <c r="B565" t="s">
        <v>1165</v>
      </c>
      <c r="C565" t="s">
        <v>1169</v>
      </c>
      <c r="D565" t="s">
        <v>1412</v>
      </c>
      <c r="E565" s="562" t="s">
        <v>1417</v>
      </c>
      <c r="F565" s="572">
        <v>0.25</v>
      </c>
      <c r="H565" s="559" t="s">
        <v>1413</v>
      </c>
      <c r="I565" s="559" t="s">
        <v>1414</v>
      </c>
      <c r="J565" s="559" t="b">
        <f t="shared" si="11"/>
        <v>0</v>
      </c>
    </row>
    <row r="566" spans="1:10" hidden="1">
      <c r="A566" s="559" t="str">
        <f t="shared" si="13"/>
        <v>Residential_Building Shell_Attic Kneewall Insulation #1 (Electric Heat)_24</v>
      </c>
      <c r="B566" t="s">
        <v>1165</v>
      </c>
      <c r="C566" t="s">
        <v>1169</v>
      </c>
      <c r="D566" t="s">
        <v>1412</v>
      </c>
      <c r="E566" s="562">
        <v>24</v>
      </c>
      <c r="F566" s="572">
        <v>24</v>
      </c>
      <c r="H566" s="559" t="s">
        <v>1413</v>
      </c>
      <c r="I566" s="559" t="s">
        <v>1414</v>
      </c>
      <c r="J566" s="559" t="b">
        <f t="shared" si="11"/>
        <v>0</v>
      </c>
    </row>
    <row r="567" spans="1:10" hidden="1">
      <c r="A567" s="559" t="str">
        <f t="shared" si="13"/>
        <v>Residential_Building Shell_Attic Kneewall Insulation #1 (Electric Heat)_HDD</v>
      </c>
      <c r="B567" t="s">
        <v>1165</v>
      </c>
      <c r="C567" t="s">
        <v>1169</v>
      </c>
      <c r="D567" t="s">
        <v>1412</v>
      </c>
      <c r="E567" s="562" t="s">
        <v>1380</v>
      </c>
      <c r="F567" s="582" t="e">
        <f>INDEX('[18]CZ Inputs'!G:G,MATCH(A567&amp;"_"&amp;[18]Dashboard_EE!$K$3,'[18]CZ Inputs'!A:A,0))</f>
        <v>#N/A</v>
      </c>
      <c r="G567" s="559" t="s">
        <v>1369</v>
      </c>
      <c r="H567" s="559" t="s">
        <v>1413</v>
      </c>
      <c r="I567" s="559" t="s">
        <v>1414</v>
      </c>
      <c r="J567" s="559" t="b">
        <f t="shared" si="11"/>
        <v>1</v>
      </c>
    </row>
    <row r="568" spans="1:10" hidden="1">
      <c r="A568" s="559" t="str">
        <f t="shared" ref="A568:A631" si="14">B568&amp;"_"&amp;C568&amp;"_"&amp;D568&amp;"_"&amp;E568</f>
        <v>Residential_Building Shell_Attic Kneewall Insulation #1 (Electric Heat)_ηHeat</v>
      </c>
      <c r="B568" t="s">
        <v>1165</v>
      </c>
      <c r="C568" t="s">
        <v>1169</v>
      </c>
      <c r="D568" t="s">
        <v>1412</v>
      </c>
      <c r="E568" s="560" t="s">
        <v>1381</v>
      </c>
      <c r="F568" s="571" t="e">
        <f>[18]Dashboard_FS!$K$8</f>
        <v>#REF!</v>
      </c>
      <c r="G568" s="559" t="s">
        <v>1187</v>
      </c>
      <c r="H568" s="559" t="s">
        <v>1413</v>
      </c>
      <c r="I568" s="559" t="s">
        <v>1414</v>
      </c>
      <c r="J568" s="559" t="b">
        <f t="shared" si="11"/>
        <v>1</v>
      </c>
    </row>
    <row r="569" spans="1:10" hidden="1">
      <c r="A569" s="559" t="str">
        <f t="shared" si="14"/>
        <v>Residential_Building Shell_Attic Kneewall Insulation #1 (Electric Heat)_ηHeat_Mid-Life_Adj</v>
      </c>
      <c r="B569" t="s">
        <v>1165</v>
      </c>
      <c r="C569" t="s">
        <v>1169</v>
      </c>
      <c r="D569" t="s">
        <v>1412</v>
      </c>
      <c r="E569" s="560" t="s">
        <v>1382</v>
      </c>
      <c r="F569" s="571" t="e">
        <f>[18]Dashboard_FS!$K$8</f>
        <v>#REF!</v>
      </c>
      <c r="G569" s="559" t="s">
        <v>1187</v>
      </c>
      <c r="H569" s="559" t="s">
        <v>1413</v>
      </c>
      <c r="I569" s="559" t="s">
        <v>1414</v>
      </c>
      <c r="J569" s="559" t="b">
        <f t="shared" si="11"/>
        <v>1</v>
      </c>
    </row>
    <row r="570" spans="1:10" hidden="1">
      <c r="A570" s="559" t="str">
        <f t="shared" si="14"/>
        <v>Residential_Building Shell_Attic Kneewall Insulation #1 (Electric Heat)_100000</v>
      </c>
      <c r="B570" t="s">
        <v>1165</v>
      </c>
      <c r="C570" t="s">
        <v>1169</v>
      </c>
      <c r="D570" t="s">
        <v>1412</v>
      </c>
      <c r="E570" s="562">
        <v>100000</v>
      </c>
      <c r="F570" s="572">
        <v>100000</v>
      </c>
      <c r="H570" s="559" t="s">
        <v>1413</v>
      </c>
      <c r="I570" s="559" t="s">
        <v>1414</v>
      </c>
      <c r="J570" s="559" t="b">
        <f t="shared" si="11"/>
        <v>0</v>
      </c>
    </row>
    <row r="571" spans="1:10" hidden="1">
      <c r="A571" s="559" t="str">
        <f t="shared" si="14"/>
        <v>Residential_Building Shell_Attic Kneewall Insulation #1 (Electric Heat)_ADJWallHeat</v>
      </c>
      <c r="B571" t="s">
        <v>1165</v>
      </c>
      <c r="C571" t="s">
        <v>1169</v>
      </c>
      <c r="D571" t="s">
        <v>1412</v>
      </c>
      <c r="E571" s="562" t="s">
        <v>1419</v>
      </c>
      <c r="F571" s="582">
        <v>0.63</v>
      </c>
      <c r="H571" s="559" t="s">
        <v>1413</v>
      </c>
      <c r="I571" s="559" t="s">
        <v>1414</v>
      </c>
      <c r="J571" s="559" t="b">
        <f t="shared" si="11"/>
        <v>0</v>
      </c>
    </row>
    <row r="572" spans="1:10" hidden="1">
      <c r="A572" s="559" t="str">
        <f t="shared" si="14"/>
        <v>Residential_Building Shell_Attic Kneewall Insulation #1 (Electric Heat)_%GasHeat</v>
      </c>
      <c r="B572" t="s">
        <v>1165</v>
      </c>
      <c r="C572" t="s">
        <v>1169</v>
      </c>
      <c r="D572" t="s">
        <v>1412</v>
      </c>
      <c r="E572" s="562" t="s">
        <v>1410</v>
      </c>
      <c r="F572" s="572">
        <v>0</v>
      </c>
      <c r="G572" s="559" t="s">
        <v>1383</v>
      </c>
      <c r="H572" s="559" t="s">
        <v>1413</v>
      </c>
      <c r="I572" s="559" t="s">
        <v>1414</v>
      </c>
      <c r="J572" s="559" t="b">
        <f t="shared" si="11"/>
        <v>0</v>
      </c>
    </row>
    <row r="573" spans="1:10" hidden="1">
      <c r="A573" s="559" t="str">
        <f t="shared" si="14"/>
        <v>Residential_Building Shell_Attic Kneewall Insulation #1 (Electric Heat)_Delta_Therms</v>
      </c>
      <c r="B573" t="s">
        <v>1165</v>
      </c>
      <c r="C573" t="s">
        <v>1169</v>
      </c>
      <c r="D573" t="s">
        <v>1412</v>
      </c>
      <c r="E573" s="560" t="s">
        <v>1301</v>
      </c>
      <c r="F573" s="571" t="e">
        <f xml:space="preserve"> (((1/ F562 - 1/ F563) * F564 * (1 - F565) * F566 * F567) / (F568 * F570)) * F571 * F572</f>
        <v>#DIV/0!</v>
      </c>
      <c r="H573" s="559" t="s">
        <v>1413</v>
      </c>
      <c r="I573" s="559" t="s">
        <v>1414</v>
      </c>
      <c r="J573" s="559" t="b">
        <f t="shared" si="11"/>
        <v>1</v>
      </c>
    </row>
    <row r="574" spans="1:10" hidden="1">
      <c r="A574" s="559" t="str">
        <f t="shared" si="14"/>
        <v>Residential_Building Shell_Attic Kneewall Insulation #1 (Electric Heat)_Delta_Therms_Mid-Life_Adj</v>
      </c>
      <c r="B574" t="s">
        <v>1165</v>
      </c>
      <c r="C574" t="s">
        <v>1169</v>
      </c>
      <c r="D574" t="s">
        <v>1412</v>
      </c>
      <c r="E574" s="560" t="s">
        <v>1420</v>
      </c>
      <c r="F574" s="571" t="e">
        <f xml:space="preserve"> (((1/ F562 - 1/ F563) * F564 * (1 - F565) * F566 * F567) / (F569 * F570)) * F571 * F572</f>
        <v>#DIV/0!</v>
      </c>
      <c r="H574" s="559" t="s">
        <v>1413</v>
      </c>
      <c r="I574" s="559" t="s">
        <v>1414</v>
      </c>
      <c r="J574" s="559" t="b">
        <f t="shared" si="11"/>
        <v>1</v>
      </c>
    </row>
    <row r="575" spans="1:10" hidden="1">
      <c r="A575" s="559" t="str">
        <f t="shared" si="14"/>
        <v>Residential_Building Shell_Attic Kneewall Insulation #1 (Electric Heat)_Remaining Year kWh</v>
      </c>
      <c r="B575" t="s">
        <v>1165</v>
      </c>
      <c r="C575" t="s">
        <v>1169</v>
      </c>
      <c r="D575" t="s">
        <v>1412</v>
      </c>
      <c r="E575" s="568" t="s">
        <v>1394</v>
      </c>
      <c r="F575" s="574" t="e">
        <f>F537+F550+F556</f>
        <v>#DIV/0!</v>
      </c>
      <c r="H575" s="559" t="s">
        <v>1413</v>
      </c>
      <c r="I575" s="559" t="s">
        <v>1414</v>
      </c>
      <c r="J575" s="559" t="b">
        <f t="shared" si="11"/>
        <v>1</v>
      </c>
    </row>
    <row r="576" spans="1:10" hidden="1">
      <c r="A576" s="559" t="str">
        <f t="shared" si="14"/>
        <v>Residential_Building Shell_Attic Kneewall Insulation #1 (Electric Heat)_kWh Saved per Unit</v>
      </c>
      <c r="B576" t="s">
        <v>1165</v>
      </c>
      <c r="C576" t="s">
        <v>1169</v>
      </c>
      <c r="D576" t="s">
        <v>1412</v>
      </c>
      <c r="E576" s="568" t="s">
        <v>1227</v>
      </c>
      <c r="F576" s="574" t="e">
        <f>F538+F551+F557</f>
        <v>#DIV/0!</v>
      </c>
      <c r="H576" s="559" t="s">
        <v>1413</v>
      </c>
      <c r="I576" s="559" t="s">
        <v>1414</v>
      </c>
      <c r="J576" s="559" t="b">
        <f t="shared" si="11"/>
        <v>1</v>
      </c>
    </row>
    <row r="577" spans="1:10" hidden="1">
      <c r="A577" s="559" t="str">
        <f t="shared" si="14"/>
        <v>Residential_Building Shell_Attic Kneewall Insulation #1 (Electric Heat)_Remaining Year kW</v>
      </c>
      <c r="B577" t="s">
        <v>1165</v>
      </c>
      <c r="C577" t="s">
        <v>1169</v>
      </c>
      <c r="D577" t="s">
        <v>1412</v>
      </c>
      <c r="E577" s="568" t="s">
        <v>1395</v>
      </c>
      <c r="F577" s="574" t="e">
        <f>F560</f>
        <v>#DIV/0!</v>
      </c>
      <c r="H577" s="559" t="s">
        <v>1413</v>
      </c>
      <c r="I577" s="559" t="s">
        <v>1414</v>
      </c>
      <c r="J577" s="559" t="b">
        <f t="shared" si="11"/>
        <v>1</v>
      </c>
    </row>
    <row r="578" spans="1:10" hidden="1">
      <c r="A578" s="559" t="str">
        <f t="shared" si="14"/>
        <v>Residential_Building Shell_Attic Kneewall Insulation #1 (Electric Heat)_Coincident Peak kW Saved per Unit</v>
      </c>
      <c r="B578" t="s">
        <v>1165</v>
      </c>
      <c r="C578" t="s">
        <v>1169</v>
      </c>
      <c r="D578" t="s">
        <v>1412</v>
      </c>
      <c r="E578" s="568" t="s">
        <v>1228</v>
      </c>
      <c r="F578" s="574" t="e">
        <f>F561</f>
        <v>#DIV/0!</v>
      </c>
      <c r="H578" s="559" t="s">
        <v>1413</v>
      </c>
      <c r="I578" s="559" t="s">
        <v>1414</v>
      </c>
      <c r="J578" s="559" t="b">
        <f t="shared" si="11"/>
        <v>1</v>
      </c>
    </row>
    <row r="579" spans="1:10" hidden="1">
      <c r="A579" s="559" t="str">
        <f t="shared" si="14"/>
        <v>Residential_Building Shell_Attic Kneewall Insulation #1 (Electric Heat)_Remaining Year Therms</v>
      </c>
      <c r="B579" t="s">
        <v>1165</v>
      </c>
      <c r="C579" t="s">
        <v>1169</v>
      </c>
      <c r="D579" t="s">
        <v>1412</v>
      </c>
      <c r="E579" s="568" t="s">
        <v>1396</v>
      </c>
      <c r="F579" s="574" t="e">
        <f>F573</f>
        <v>#DIV/0!</v>
      </c>
      <c r="H579" s="559" t="s">
        <v>1413</v>
      </c>
      <c r="I579" s="559" t="s">
        <v>1414</v>
      </c>
      <c r="J579" s="559" t="b">
        <f t="shared" si="11"/>
        <v>1</v>
      </c>
    </row>
    <row r="580" spans="1:10" hidden="1">
      <c r="A580" s="559" t="str">
        <f t="shared" si="14"/>
        <v>Residential_Building Shell_Attic Kneewall Insulation #1 (Electric Heat)_Therms Saved per Unit</v>
      </c>
      <c r="B580" t="s">
        <v>1165</v>
      </c>
      <c r="C580" t="s">
        <v>1169</v>
      </c>
      <c r="D580" t="s">
        <v>1412</v>
      </c>
      <c r="E580" s="568" t="s">
        <v>1323</v>
      </c>
      <c r="F580" s="574" t="e">
        <f>F574</f>
        <v>#DIV/0!</v>
      </c>
      <c r="H580" s="559" t="s">
        <v>1413</v>
      </c>
      <c r="I580" s="559" t="s">
        <v>1414</v>
      </c>
      <c r="J580" s="559" t="b">
        <f t="shared" si="11"/>
        <v>1</v>
      </c>
    </row>
    <row r="581" spans="1:10" hidden="1">
      <c r="A581" s="559" t="str">
        <f t="shared" si="14"/>
        <v>Residential_Building Shell_Attic Kneewall Insulation #1 (Electric Heat)_Remaining Life</v>
      </c>
      <c r="B581" t="s">
        <v>1165</v>
      </c>
      <c r="C581" t="s">
        <v>1169</v>
      </c>
      <c r="D581" t="s">
        <v>1412</v>
      </c>
      <c r="E581" s="568" t="s">
        <v>1397</v>
      </c>
      <c r="F581" s="574">
        <v>10</v>
      </c>
      <c r="H581" s="559" t="s">
        <v>1413</v>
      </c>
      <c r="I581" s="559" t="s">
        <v>1414</v>
      </c>
      <c r="J581" s="559" t="b">
        <f t="shared" si="11"/>
        <v>0</v>
      </c>
    </row>
    <row r="582" spans="1:10" hidden="1">
      <c r="A582" s="559" t="str">
        <f t="shared" si="14"/>
        <v>Residential_Building Shell_Attic Kneewall Insulation #1 (Electric Heat)_Lifetime (years)</v>
      </c>
      <c r="B582" t="s">
        <v>1165</v>
      </c>
      <c r="C582" t="s">
        <v>1169</v>
      </c>
      <c r="D582" t="s">
        <v>1412</v>
      </c>
      <c r="E582" s="568" t="s">
        <v>1231</v>
      </c>
      <c r="F582" s="575">
        <v>30</v>
      </c>
      <c r="H582" s="559" t="s">
        <v>1413</v>
      </c>
      <c r="I582" s="559" t="s">
        <v>1414</v>
      </c>
      <c r="J582" s="559" t="b">
        <f t="shared" si="11"/>
        <v>0</v>
      </c>
    </row>
    <row r="583" spans="1:10" hidden="1">
      <c r="A583" s="559" t="str">
        <f t="shared" si="14"/>
        <v>Residential_Building Shell_Attic Kneewall Insulation #1 (Electric Heat)_Incremental Cost</v>
      </c>
      <c r="B583" t="s">
        <v>1165</v>
      </c>
      <c r="C583" t="s">
        <v>1169</v>
      </c>
      <c r="D583" t="s">
        <v>1412</v>
      </c>
      <c r="E583" s="568" t="s">
        <v>1232</v>
      </c>
      <c r="F583" s="570">
        <f>0.9*F527</f>
        <v>0</v>
      </c>
      <c r="G583" s="559" t="s">
        <v>1398</v>
      </c>
      <c r="H583" s="559" t="s">
        <v>1413</v>
      </c>
      <c r="I583" s="559" t="s">
        <v>1414</v>
      </c>
      <c r="J583" s="559" t="b">
        <f t="shared" si="11"/>
        <v>1</v>
      </c>
    </row>
    <row r="584" spans="1:10" hidden="1">
      <c r="A584" s="559" t="str">
        <f t="shared" si="14"/>
        <v>Residential_Building Shell_Attic Kneewall Insulation #1 (Electric Heat)_BTU Impact_Existing_Fossil Fuel</v>
      </c>
      <c r="B584" t="s">
        <v>1165</v>
      </c>
      <c r="C584" t="s">
        <v>1169</v>
      </c>
      <c r="D584" t="s">
        <v>1412</v>
      </c>
      <c r="E584" s="568" t="s">
        <v>1234</v>
      </c>
      <c r="F584" s="569">
        <v>0</v>
      </c>
      <c r="H584" s="559" t="s">
        <v>1413</v>
      </c>
      <c r="I584" s="559" t="s">
        <v>1414</v>
      </c>
      <c r="J584" s="559" t="b">
        <f t="shared" si="11"/>
        <v>0</v>
      </c>
    </row>
    <row r="585" spans="1:10" hidden="1">
      <c r="A585" s="559" t="str">
        <f t="shared" si="14"/>
        <v>Residential_Building Shell_Attic Kneewall Insulation #1 (Electric Heat)_BTU Impact_Existing_Winter Electricity</v>
      </c>
      <c r="B585" t="s">
        <v>1165</v>
      </c>
      <c r="C585" t="s">
        <v>1169</v>
      </c>
      <c r="D585" t="s">
        <v>1412</v>
      </c>
      <c r="E585" s="568" t="s">
        <v>1235</v>
      </c>
      <c r="F585" s="569">
        <v>0</v>
      </c>
      <c r="H585" s="559" t="s">
        <v>1413</v>
      </c>
      <c r="I585" s="559" t="s">
        <v>1414</v>
      </c>
      <c r="J585" s="559" t="b">
        <f t="shared" si="11"/>
        <v>0</v>
      </c>
    </row>
    <row r="586" spans="1:10" hidden="1">
      <c r="A586" s="559" t="str">
        <f t="shared" si="14"/>
        <v>Residential_Building Shell_Attic Kneewall Insulation #1 (Electric Heat)_BTU Impact_Existing_Summer Electricity</v>
      </c>
      <c r="B586" t="s">
        <v>1165</v>
      </c>
      <c r="C586" t="s">
        <v>1169</v>
      </c>
      <c r="D586" t="s">
        <v>1412</v>
      </c>
      <c r="E586" s="568" t="s">
        <v>1236</v>
      </c>
      <c r="F586" s="569">
        <v>0</v>
      </c>
      <c r="H586" s="559" t="s">
        <v>1413</v>
      </c>
      <c r="I586" s="559" t="s">
        <v>1414</v>
      </c>
      <c r="J586" s="559" t="b">
        <f t="shared" si="11"/>
        <v>0</v>
      </c>
    </row>
    <row r="587" spans="1:10" hidden="1">
      <c r="A587" s="559" t="str">
        <f t="shared" si="14"/>
        <v>Residential_Building Shell_Attic Kneewall Insulation #1 (Electric Heat)_BTU Impact_New_Fossil Fuel</v>
      </c>
      <c r="B587" t="s">
        <v>1165</v>
      </c>
      <c r="C587" t="s">
        <v>1169</v>
      </c>
      <c r="D587" t="s">
        <v>1412</v>
      </c>
      <c r="E587" s="568" t="s">
        <v>1237</v>
      </c>
      <c r="F587" s="569">
        <v>0</v>
      </c>
      <c r="H587" s="559" t="s">
        <v>1413</v>
      </c>
      <c r="I587" s="559" t="s">
        <v>1414</v>
      </c>
      <c r="J587" s="559" t="b">
        <f t="shared" si="11"/>
        <v>0</v>
      </c>
    </row>
    <row r="588" spans="1:10" hidden="1">
      <c r="A588" s="559" t="str">
        <f t="shared" si="14"/>
        <v>Residential_Building Shell_Attic Kneewall Insulation #1 (Electric Heat)_BTU Impact_New_Winter Electricity</v>
      </c>
      <c r="B588" t="s">
        <v>1165</v>
      </c>
      <c r="C588" t="s">
        <v>1169</v>
      </c>
      <c r="D588" t="s">
        <v>1412</v>
      </c>
      <c r="E588" s="568" t="s">
        <v>1238</v>
      </c>
      <c r="F588" s="569" t="e">
        <f>-F550*3412</f>
        <v>#DIV/0!</v>
      </c>
      <c r="H588" s="559" t="s">
        <v>1413</v>
      </c>
      <c r="I588" s="559" t="s">
        <v>1414</v>
      </c>
      <c r="J588" s="559" t="b">
        <f t="shared" si="11"/>
        <v>1</v>
      </c>
    </row>
    <row r="589" spans="1:10" hidden="1">
      <c r="A589" s="559" t="str">
        <f t="shared" si="14"/>
        <v>Residential_Building Shell_Attic Kneewall Insulation #1 (Electric Heat)_BTU Impact_New_Summer Electricity</v>
      </c>
      <c r="B589" t="s">
        <v>1165</v>
      </c>
      <c r="C589" t="s">
        <v>1169</v>
      </c>
      <c r="D589" t="s">
        <v>1412</v>
      </c>
      <c r="E589" s="568" t="s">
        <v>1239</v>
      </c>
      <c r="F589" s="569" t="e">
        <f>-F537*3412</f>
        <v>#DIV/0!</v>
      </c>
      <c r="H589" s="559" t="s">
        <v>1413</v>
      </c>
      <c r="I589" s="559" t="s">
        <v>1414</v>
      </c>
      <c r="J589" s="559" t="b">
        <f t="shared" si="11"/>
        <v>1</v>
      </c>
    </row>
    <row r="590" spans="1:10" hidden="1">
      <c r="A590" s="559" t="str">
        <f t="shared" si="14"/>
        <v>Residential_Building Shell_Attic Kneewall Insulation #1 (Electric Heat)_</v>
      </c>
      <c r="B590" t="s">
        <v>1165</v>
      </c>
      <c r="C590" t="s">
        <v>1169</v>
      </c>
      <c r="D590" t="s">
        <v>1412</v>
      </c>
      <c r="H590" s="559" t="s">
        <v>1413</v>
      </c>
      <c r="I590" s="559" t="s">
        <v>1414</v>
      </c>
      <c r="J590" s="559" t="b">
        <f t="shared" si="11"/>
        <v>0</v>
      </c>
    </row>
    <row r="591" spans="1:10" hidden="1">
      <c r="A591" s="559" t="str">
        <f t="shared" si="14"/>
        <v>Residential_Building Shell_Attic Kneewall Insulation #2 (Electric Heat)_R_old</v>
      </c>
      <c r="B591" t="s">
        <v>1165</v>
      </c>
      <c r="C591" t="s">
        <v>1169</v>
      </c>
      <c r="D591" t="s">
        <v>1421</v>
      </c>
      <c r="E591" s="560" t="s">
        <v>1400</v>
      </c>
      <c r="F591" s="571">
        <f>[18]Dashboard_FS!$O$18</f>
        <v>0</v>
      </c>
      <c r="G591" s="559" t="s">
        <v>1187</v>
      </c>
      <c r="H591" s="559" t="s">
        <v>1413</v>
      </c>
      <c r="I591" s="559" t="s">
        <v>1414</v>
      </c>
      <c r="J591" s="559" t="b">
        <f t="shared" si="11"/>
        <v>1</v>
      </c>
    </row>
    <row r="592" spans="1:10" hidden="1">
      <c r="A592" s="559" t="str">
        <f t="shared" si="14"/>
        <v>Residential_Building Shell_Attic Kneewall Insulation #2 (Electric Heat)_R_wall</v>
      </c>
      <c r="B592" t="s">
        <v>1165</v>
      </c>
      <c r="C592" t="s">
        <v>1169</v>
      </c>
      <c r="D592" t="s">
        <v>1421</v>
      </c>
      <c r="E592" s="560" t="s">
        <v>1415</v>
      </c>
      <c r="F592" s="571">
        <f>[18]Dashboard_FS!$P$18</f>
        <v>0</v>
      </c>
      <c r="G592" s="559" t="s">
        <v>1187</v>
      </c>
      <c r="H592" s="559" t="s">
        <v>1413</v>
      </c>
      <c r="I592" s="559" t="s">
        <v>1414</v>
      </c>
      <c r="J592" s="559" t="b">
        <f t="shared" si="11"/>
        <v>1</v>
      </c>
    </row>
    <row r="593" spans="1:10" hidden="1">
      <c r="A593" s="559" t="str">
        <f t="shared" si="14"/>
        <v>Residential_Building Shell_Attic Kneewall Insulation #2 (Electric Heat)_A_wall</v>
      </c>
      <c r="B593" t="s">
        <v>1165</v>
      </c>
      <c r="C593" t="s">
        <v>1169</v>
      </c>
      <c r="D593" t="s">
        <v>1421</v>
      </c>
      <c r="E593" s="560" t="s">
        <v>1416</v>
      </c>
      <c r="F593" s="571">
        <f>[18]Dashboard_FS!$O$7</f>
        <v>0</v>
      </c>
      <c r="G593" s="559" t="s">
        <v>1187</v>
      </c>
      <c r="H593" s="559" t="s">
        <v>1413</v>
      </c>
      <c r="I593" s="559" t="s">
        <v>1414</v>
      </c>
      <c r="J593" s="559" t="b">
        <f t="shared" si="11"/>
        <v>1</v>
      </c>
    </row>
    <row r="594" spans="1:10" hidden="1">
      <c r="A594" s="559" t="str">
        <f t="shared" si="14"/>
        <v>Residential_Building Shell_Attic Kneewall Insulation #2 (Electric Heat)_Framing_factor_wall</v>
      </c>
      <c r="B594" t="s">
        <v>1165</v>
      </c>
      <c r="C594" t="s">
        <v>1169</v>
      </c>
      <c r="D594" t="s">
        <v>1421</v>
      </c>
      <c r="E594" s="562" t="s">
        <v>1417</v>
      </c>
      <c r="F594" s="572">
        <v>0.25</v>
      </c>
      <c r="H594" s="559" t="s">
        <v>1413</v>
      </c>
      <c r="I594" s="559" t="s">
        <v>1414</v>
      </c>
      <c r="J594" s="559" t="b">
        <f t="shared" si="11"/>
        <v>0</v>
      </c>
    </row>
    <row r="595" spans="1:10" hidden="1">
      <c r="A595" s="559" t="str">
        <f t="shared" si="14"/>
        <v>Residential_Building Shell_Attic Kneewall Insulation #2 (Electric Heat)_24</v>
      </c>
      <c r="B595" t="s">
        <v>1165</v>
      </c>
      <c r="C595" t="s">
        <v>1169</v>
      </c>
      <c r="D595" t="s">
        <v>1421</v>
      </c>
      <c r="E595" s="562">
        <v>24</v>
      </c>
      <c r="F595" s="572">
        <v>24</v>
      </c>
      <c r="H595" s="559" t="s">
        <v>1413</v>
      </c>
      <c r="I595" s="559" t="s">
        <v>1414</v>
      </c>
      <c r="J595" s="559" t="b">
        <f t="shared" si="11"/>
        <v>0</v>
      </c>
    </row>
    <row r="596" spans="1:10" hidden="1">
      <c r="A596" s="559" t="str">
        <f t="shared" si="14"/>
        <v>Residential_Building Shell_Attic Kneewall Insulation #2 (Electric Heat)_CDD</v>
      </c>
      <c r="B596" t="s">
        <v>1165</v>
      </c>
      <c r="C596" t="s">
        <v>1169</v>
      </c>
      <c r="D596" t="s">
        <v>1421</v>
      </c>
      <c r="E596" s="562" t="s">
        <v>1368</v>
      </c>
      <c r="F596" s="582" t="e">
        <f>INDEX('[18]CZ Inputs'!G:G,MATCH(A596&amp;"_"&amp;[18]Dashboard_EE!$K$3,'[18]CZ Inputs'!A:A,0))</f>
        <v>#N/A</v>
      </c>
      <c r="G596" s="559" t="s">
        <v>1369</v>
      </c>
      <c r="H596" s="559" t="s">
        <v>1413</v>
      </c>
      <c r="I596" s="559" t="s">
        <v>1414</v>
      </c>
      <c r="J596" s="559" t="b">
        <f t="shared" si="11"/>
        <v>1</v>
      </c>
    </row>
    <row r="597" spans="1:10" hidden="1">
      <c r="A597" s="559" t="str">
        <f t="shared" si="14"/>
        <v>Residential_Building Shell_Attic Kneewall Insulation #2 (Electric Heat)_DUA</v>
      </c>
      <c r="B597" t="s">
        <v>1165</v>
      </c>
      <c r="C597" t="s">
        <v>1169</v>
      </c>
      <c r="D597" t="s">
        <v>1421</v>
      </c>
      <c r="E597" s="562" t="s">
        <v>1370</v>
      </c>
      <c r="F597" s="572">
        <v>0.75</v>
      </c>
      <c r="H597" s="559" t="s">
        <v>1413</v>
      </c>
      <c r="I597" s="559" t="s">
        <v>1414</v>
      </c>
      <c r="J597" s="559" t="b">
        <f t="shared" si="11"/>
        <v>0</v>
      </c>
    </row>
    <row r="598" spans="1:10" hidden="1">
      <c r="A598" s="559" t="str">
        <f t="shared" si="14"/>
        <v>Residential_Building Shell_Attic Kneewall Insulation #2 (Electric Heat)_1000</v>
      </c>
      <c r="B598" t="s">
        <v>1165</v>
      </c>
      <c r="C598" t="s">
        <v>1169</v>
      </c>
      <c r="D598" t="s">
        <v>1421</v>
      </c>
      <c r="E598" s="562">
        <v>1000</v>
      </c>
      <c r="F598" s="572">
        <v>1000</v>
      </c>
      <c r="H598" s="559" t="s">
        <v>1413</v>
      </c>
      <c r="I598" s="559" t="s">
        <v>1414</v>
      </c>
      <c r="J598" s="559" t="b">
        <f t="shared" si="11"/>
        <v>0</v>
      </c>
    </row>
    <row r="599" spans="1:10" hidden="1">
      <c r="A599" s="559" t="str">
        <f t="shared" si="14"/>
        <v>Residential_Building Shell_Attic Kneewall Insulation #2 (Electric Heat)_ηCool</v>
      </c>
      <c r="B599" t="s">
        <v>1165</v>
      </c>
      <c r="C599" t="s">
        <v>1169</v>
      </c>
      <c r="D599" t="s">
        <v>1421</v>
      </c>
      <c r="E599" s="560" t="s">
        <v>1371</v>
      </c>
      <c r="F599" s="571" t="e">
        <f>[18]Dashboard_FS!$K$13</f>
        <v>#REF!</v>
      </c>
      <c r="G599" s="559" t="s">
        <v>1187</v>
      </c>
      <c r="H599" s="559" t="s">
        <v>1413</v>
      </c>
      <c r="I599" s="559" t="s">
        <v>1414</v>
      </c>
      <c r="J599" s="559" t="b">
        <f t="shared" si="11"/>
        <v>1</v>
      </c>
    </row>
    <row r="600" spans="1:10" hidden="1">
      <c r="A600" s="559" t="str">
        <f t="shared" si="14"/>
        <v>Residential_Building Shell_Attic Kneewall Insulation #2 (Electric Heat)_ηCool_Mid-Life_Adj</v>
      </c>
      <c r="B600" t="s">
        <v>1165</v>
      </c>
      <c r="C600" t="s">
        <v>1169</v>
      </c>
      <c r="D600" t="s">
        <v>1421</v>
      </c>
      <c r="E600" s="560" t="s">
        <v>1372</v>
      </c>
      <c r="F600" s="571" t="e">
        <f>[18]Dashboard_FS!$K$13</f>
        <v>#REF!</v>
      </c>
      <c r="G600" s="559" t="s">
        <v>1187</v>
      </c>
      <c r="H600" s="559" t="s">
        <v>1413</v>
      </c>
      <c r="I600" s="559" t="s">
        <v>1414</v>
      </c>
      <c r="J600" s="559" t="b">
        <f t="shared" si="11"/>
        <v>1</v>
      </c>
    </row>
    <row r="601" spans="1:10" hidden="1">
      <c r="A601" s="559" t="str">
        <f t="shared" si="14"/>
        <v>Residential_Building Shell_Attic Kneewall Insulation #2 (Electric Heat)_ADJWallCool</v>
      </c>
      <c r="B601" t="s">
        <v>1165</v>
      </c>
      <c r="C601" t="s">
        <v>1169</v>
      </c>
      <c r="D601" t="s">
        <v>1421</v>
      </c>
      <c r="E601" s="562" t="s">
        <v>1418</v>
      </c>
      <c r="F601" s="582">
        <v>0.75</v>
      </c>
      <c r="H601" s="559" t="s">
        <v>1413</v>
      </c>
      <c r="I601" s="559" t="s">
        <v>1414</v>
      </c>
      <c r="J601" s="559" t="b">
        <f t="shared" si="11"/>
        <v>0</v>
      </c>
    </row>
    <row r="602" spans="1:10" hidden="1">
      <c r="A602" s="559" t="str">
        <f t="shared" si="14"/>
        <v>Residential_Building Shell_Attic Kneewall Insulation #2 (Electric Heat)_%Cool</v>
      </c>
      <c r="B602" t="s">
        <v>1165</v>
      </c>
      <c r="C602" t="s">
        <v>1169</v>
      </c>
      <c r="D602" t="s">
        <v>1421</v>
      </c>
      <c r="E602" s="562" t="s">
        <v>1344</v>
      </c>
      <c r="F602" s="572">
        <v>1</v>
      </c>
      <c r="H602" s="559" t="s">
        <v>1413</v>
      </c>
      <c r="I602" s="559" t="s">
        <v>1414</v>
      </c>
      <c r="J602" s="559" t="b">
        <f t="shared" si="11"/>
        <v>0</v>
      </c>
    </row>
    <row r="603" spans="1:10" hidden="1">
      <c r="A603" s="559" t="str">
        <f t="shared" si="14"/>
        <v>Residential_Building Shell_Attic Kneewall Insulation #2 (Electric Heat)_Delta_kWh_cooling</v>
      </c>
      <c r="B603" t="s">
        <v>1165</v>
      </c>
      <c r="C603" t="s">
        <v>1169</v>
      </c>
      <c r="D603" t="s">
        <v>1421</v>
      </c>
      <c r="E603" s="560" t="s">
        <v>1377</v>
      </c>
      <c r="F603" s="571" t="e">
        <f xml:space="preserve"> ((((1/ F591 - 1/ F592) * F593 * (1 - F594)) * F595 * F596 * F597) / (F598 * F599)) * F601 * F602</f>
        <v>#DIV/0!</v>
      </c>
      <c r="H603" s="559" t="s">
        <v>1413</v>
      </c>
      <c r="I603" s="559" t="s">
        <v>1414</v>
      </c>
      <c r="J603" s="559" t="b">
        <f t="shared" si="11"/>
        <v>1</v>
      </c>
    </row>
    <row r="604" spans="1:10" hidden="1">
      <c r="A604" s="559" t="str">
        <f t="shared" si="14"/>
        <v>Residential_Building Shell_Attic Kneewall Insulation #2 (Electric Heat)_Delta_kWh_cooling_Mid-Life_Adj</v>
      </c>
      <c r="B604" t="s">
        <v>1165</v>
      </c>
      <c r="C604" t="s">
        <v>1169</v>
      </c>
      <c r="D604" t="s">
        <v>1421</v>
      </c>
      <c r="E604" s="560" t="s">
        <v>1378</v>
      </c>
      <c r="F604" s="571" t="e">
        <f xml:space="preserve"> ((((1/ F591 - 1/ F592) * F593 * (1 - F594)) * F595 * F596 * F597) / (F598 * F600)) * F601 * F602</f>
        <v>#DIV/0!</v>
      </c>
      <c r="H604" s="559" t="s">
        <v>1413</v>
      </c>
      <c r="I604" s="559" t="s">
        <v>1414</v>
      </c>
      <c r="J604" s="559" t="b">
        <f t="shared" si="11"/>
        <v>1</v>
      </c>
    </row>
    <row r="605" spans="1:10" hidden="1">
      <c r="A605" s="559" t="str">
        <f t="shared" si="14"/>
        <v>Residential_Building Shell_Attic Kneewall Insulation #2 (Electric Heat)_R_old</v>
      </c>
      <c r="B605" t="s">
        <v>1165</v>
      </c>
      <c r="C605" t="s">
        <v>1169</v>
      </c>
      <c r="D605" t="s">
        <v>1421</v>
      </c>
      <c r="E605" s="560" t="s">
        <v>1400</v>
      </c>
      <c r="F605" s="571">
        <f>[18]Dashboard_FS!$O$18</f>
        <v>0</v>
      </c>
      <c r="G605" s="559" t="s">
        <v>1187</v>
      </c>
      <c r="H605" s="559" t="s">
        <v>1413</v>
      </c>
      <c r="I605" s="559" t="s">
        <v>1414</v>
      </c>
      <c r="J605" s="559" t="b">
        <f t="shared" si="11"/>
        <v>1</v>
      </c>
    </row>
    <row r="606" spans="1:10" hidden="1">
      <c r="A606" s="559" t="str">
        <f t="shared" si="14"/>
        <v>Residential_Building Shell_Attic Kneewall Insulation #2 (Electric Heat)_R_wall</v>
      </c>
      <c r="B606" t="s">
        <v>1165</v>
      </c>
      <c r="C606" t="s">
        <v>1169</v>
      </c>
      <c r="D606" t="s">
        <v>1421</v>
      </c>
      <c r="E606" s="560" t="s">
        <v>1415</v>
      </c>
      <c r="F606" s="571">
        <f>[18]Dashboard_FS!$P$18</f>
        <v>0</v>
      </c>
      <c r="G606" s="559" t="s">
        <v>1187</v>
      </c>
      <c r="H606" s="559" t="s">
        <v>1413</v>
      </c>
      <c r="I606" s="559" t="s">
        <v>1414</v>
      </c>
      <c r="J606" s="559" t="b">
        <f t="shared" si="11"/>
        <v>1</v>
      </c>
    </row>
    <row r="607" spans="1:10" hidden="1">
      <c r="A607" s="559" t="str">
        <f t="shared" si="14"/>
        <v>Residential_Building Shell_Attic Kneewall Insulation #2 (Electric Heat)_A_wall</v>
      </c>
      <c r="B607" t="s">
        <v>1165</v>
      </c>
      <c r="C607" t="s">
        <v>1169</v>
      </c>
      <c r="D607" t="s">
        <v>1421</v>
      </c>
      <c r="E607" s="560" t="s">
        <v>1416</v>
      </c>
      <c r="F607" s="571">
        <f>[18]Dashboard_FS!$O$7</f>
        <v>0</v>
      </c>
      <c r="G607" s="559" t="s">
        <v>1187</v>
      </c>
      <c r="H607" s="559" t="s">
        <v>1413</v>
      </c>
      <c r="I607" s="559" t="s">
        <v>1414</v>
      </c>
      <c r="J607" s="559" t="b">
        <f t="shared" si="11"/>
        <v>1</v>
      </c>
    </row>
    <row r="608" spans="1:10" hidden="1">
      <c r="A608" s="559" t="str">
        <f t="shared" si="14"/>
        <v>Residential_Building Shell_Attic Kneewall Insulation #2 (Electric Heat)_Framing_factor_wall</v>
      </c>
      <c r="B608" t="s">
        <v>1165</v>
      </c>
      <c r="C608" t="s">
        <v>1169</v>
      </c>
      <c r="D608" t="s">
        <v>1421</v>
      </c>
      <c r="E608" s="562" t="s">
        <v>1417</v>
      </c>
      <c r="F608" s="572">
        <v>0.25</v>
      </c>
      <c r="H608" s="559" t="s">
        <v>1413</v>
      </c>
      <c r="I608" s="559" t="s">
        <v>1414</v>
      </c>
      <c r="J608" s="559" t="b">
        <f t="shared" si="11"/>
        <v>0</v>
      </c>
    </row>
    <row r="609" spans="1:10" hidden="1">
      <c r="A609" s="559" t="str">
        <f t="shared" si="14"/>
        <v>Residential_Building Shell_Attic Kneewall Insulation #2 (Electric Heat)_24</v>
      </c>
      <c r="B609" t="s">
        <v>1165</v>
      </c>
      <c r="C609" t="s">
        <v>1169</v>
      </c>
      <c r="D609" t="s">
        <v>1421</v>
      </c>
      <c r="E609" s="562">
        <v>24</v>
      </c>
      <c r="F609" s="572">
        <v>24</v>
      </c>
      <c r="H609" s="559" t="s">
        <v>1413</v>
      </c>
      <c r="I609" s="559" t="s">
        <v>1414</v>
      </c>
      <c r="J609" s="559" t="b">
        <f t="shared" si="11"/>
        <v>0</v>
      </c>
    </row>
    <row r="610" spans="1:10" hidden="1">
      <c r="A610" s="559" t="str">
        <f t="shared" si="14"/>
        <v>Residential_Building Shell_Attic Kneewall Insulation #2 (Electric Heat)_HDD</v>
      </c>
      <c r="B610" t="s">
        <v>1165</v>
      </c>
      <c r="C610" t="s">
        <v>1169</v>
      </c>
      <c r="D610" t="s">
        <v>1421</v>
      </c>
      <c r="E610" s="562" t="s">
        <v>1380</v>
      </c>
      <c r="F610" s="582" t="e">
        <f>INDEX('[18]CZ Inputs'!G:G,MATCH(A610&amp;"_"&amp;[18]Dashboard_EE!$K$3,'[18]CZ Inputs'!A:A,0))</f>
        <v>#N/A</v>
      </c>
      <c r="G610" s="559" t="s">
        <v>1369</v>
      </c>
      <c r="H610" s="559" t="s">
        <v>1413</v>
      </c>
      <c r="I610" s="559" t="s">
        <v>1414</v>
      </c>
      <c r="J610" s="559" t="b">
        <f t="shared" si="11"/>
        <v>1</v>
      </c>
    </row>
    <row r="611" spans="1:10" hidden="1">
      <c r="A611" s="559" t="str">
        <f t="shared" si="14"/>
        <v>Residential_Building Shell_Attic Kneewall Insulation #2 (Electric Heat)_ηHeat</v>
      </c>
      <c r="B611" t="s">
        <v>1165</v>
      </c>
      <c r="C611" t="s">
        <v>1169</v>
      </c>
      <c r="D611" t="s">
        <v>1421</v>
      </c>
      <c r="E611" s="560" t="s">
        <v>1381</v>
      </c>
      <c r="F611" s="571" t="e">
        <f>[18]Dashboard_FS!$K$6</f>
        <v>#REF!</v>
      </c>
      <c r="G611" s="559" t="s">
        <v>1187</v>
      </c>
      <c r="H611" s="559" t="s">
        <v>1413</v>
      </c>
      <c r="I611" s="559" t="s">
        <v>1414</v>
      </c>
      <c r="J611" s="559" t="b">
        <f t="shared" si="11"/>
        <v>1</v>
      </c>
    </row>
    <row r="612" spans="1:10" hidden="1">
      <c r="A612" s="559" t="str">
        <f t="shared" si="14"/>
        <v>Residential_Building Shell_Attic Kneewall Insulation #2 (Electric Heat)_ηHeat_Mid-Life_Adj</v>
      </c>
      <c r="B612" t="s">
        <v>1165</v>
      </c>
      <c r="C612" t="s">
        <v>1169</v>
      </c>
      <c r="D612" t="s">
        <v>1421</v>
      </c>
      <c r="E612" s="560" t="s">
        <v>1382</v>
      </c>
      <c r="F612" s="571" t="e">
        <f>[18]Dashboard_FS!$K$6</f>
        <v>#REF!</v>
      </c>
      <c r="G612" s="559" t="s">
        <v>1187</v>
      </c>
      <c r="H612" s="559" t="s">
        <v>1413</v>
      </c>
      <c r="I612" s="559" t="s">
        <v>1414</v>
      </c>
      <c r="J612" s="559" t="b">
        <f t="shared" si="11"/>
        <v>1</v>
      </c>
    </row>
    <row r="613" spans="1:10" hidden="1">
      <c r="A613" s="559" t="str">
        <f t="shared" si="14"/>
        <v>Residential_Building Shell_Attic Kneewall Insulation #2 (Electric Heat)_3412</v>
      </c>
      <c r="B613" t="s">
        <v>1165</v>
      </c>
      <c r="C613" t="s">
        <v>1169</v>
      </c>
      <c r="D613" t="s">
        <v>1421</v>
      </c>
      <c r="E613" s="562">
        <v>3412</v>
      </c>
      <c r="F613" s="572">
        <v>3412</v>
      </c>
      <c r="H613" s="559" t="s">
        <v>1413</v>
      </c>
      <c r="I613" s="559" t="s">
        <v>1414</v>
      </c>
      <c r="J613" s="559" t="b">
        <f t="shared" si="11"/>
        <v>0</v>
      </c>
    </row>
    <row r="614" spans="1:10" hidden="1">
      <c r="A614" s="559" t="str">
        <f t="shared" si="14"/>
        <v>Residential_Building Shell_Attic Kneewall Insulation #2 (Electric Heat)_ADJWallHeat</v>
      </c>
      <c r="B614" t="s">
        <v>1165</v>
      </c>
      <c r="C614" t="s">
        <v>1169</v>
      </c>
      <c r="D614" t="s">
        <v>1421</v>
      </c>
      <c r="E614" s="562" t="s">
        <v>1419</v>
      </c>
      <c r="F614" s="582">
        <v>0.63</v>
      </c>
      <c r="H614" s="559" t="s">
        <v>1413</v>
      </c>
      <c r="I614" s="559" t="s">
        <v>1414</v>
      </c>
      <c r="J614" s="559" t="b">
        <f t="shared" si="11"/>
        <v>0</v>
      </c>
    </row>
    <row r="615" spans="1:10" hidden="1">
      <c r="A615" s="559" t="str">
        <f t="shared" si="14"/>
        <v>Residential_Building Shell_Attic Kneewall Insulation #2 (Electric Heat)_%ElectricHeat</v>
      </c>
      <c r="B615" t="s">
        <v>1165</v>
      </c>
      <c r="C615" t="s">
        <v>1169</v>
      </c>
      <c r="D615" t="s">
        <v>1421</v>
      </c>
      <c r="E615" s="562" t="s">
        <v>1349</v>
      </c>
      <c r="F615" s="572">
        <v>1</v>
      </c>
      <c r="G615" s="559" t="s">
        <v>1383</v>
      </c>
      <c r="H615" s="559" t="s">
        <v>1413</v>
      </c>
      <c r="I615" s="559" t="s">
        <v>1414</v>
      </c>
      <c r="J615" s="559" t="b">
        <f t="shared" si="11"/>
        <v>0</v>
      </c>
    </row>
    <row r="616" spans="1:10" hidden="1">
      <c r="A616" s="559" t="str">
        <f t="shared" si="14"/>
        <v>Residential_Building Shell_Attic Kneewall Insulation #2 (Electric Heat)_Delta_kWh_heatingElectric</v>
      </c>
      <c r="B616" t="s">
        <v>1165</v>
      </c>
      <c r="C616" t="s">
        <v>1169</v>
      </c>
      <c r="D616" t="s">
        <v>1421</v>
      </c>
      <c r="E616" s="560" t="s">
        <v>1384</v>
      </c>
      <c r="F616" s="571" t="e">
        <f xml:space="preserve"> (((1/ F605 - 1/ F606) * F607 * (1 - F608) * F609 * F610) / (F611 * F613)) * F614 * F615</f>
        <v>#DIV/0!</v>
      </c>
      <c r="H616" s="559" t="s">
        <v>1413</v>
      </c>
      <c r="I616" s="559" t="s">
        <v>1414</v>
      </c>
      <c r="J616" s="559" t="b">
        <f t="shared" si="11"/>
        <v>1</v>
      </c>
    </row>
    <row r="617" spans="1:10" hidden="1">
      <c r="A617" s="559" t="str">
        <f t="shared" si="14"/>
        <v>Residential_Building Shell_Attic Kneewall Insulation #2 (Electric Heat)_Delta_kWh_heatingElectric_Mid-Life_Adj</v>
      </c>
      <c r="B617" t="s">
        <v>1165</v>
      </c>
      <c r="C617" t="s">
        <v>1169</v>
      </c>
      <c r="D617" t="s">
        <v>1421</v>
      </c>
      <c r="E617" s="560" t="s">
        <v>1385</v>
      </c>
      <c r="F617" s="571" t="e">
        <f xml:space="preserve"> (((1/ F605 - 1/ F606) * F607 * (1 - F608) * F609 * F610) / (F612 * F613)) * F614 * F615</f>
        <v>#DIV/0!</v>
      </c>
      <c r="H617" s="559" t="s">
        <v>1413</v>
      </c>
      <c r="I617" s="559" t="s">
        <v>1414</v>
      </c>
      <c r="J617" s="559" t="b">
        <f t="shared" si="11"/>
        <v>1</v>
      </c>
    </row>
    <row r="618" spans="1:10" hidden="1">
      <c r="A618" s="559" t="str">
        <f t="shared" si="14"/>
        <v>Residential_Building Shell_Attic Kneewall Insulation #2 (Electric Heat)_Delta_Therms</v>
      </c>
      <c r="B618" t="s">
        <v>1165</v>
      </c>
      <c r="C618" t="s">
        <v>1169</v>
      </c>
      <c r="D618" t="s">
        <v>1421</v>
      </c>
      <c r="E618" s="560" t="s">
        <v>1301</v>
      </c>
      <c r="F618" s="571" t="e">
        <f>F639</f>
        <v>#DIV/0!</v>
      </c>
      <c r="H618" s="559" t="s">
        <v>1413</v>
      </c>
      <c r="I618" s="559" t="s">
        <v>1414</v>
      </c>
      <c r="J618" s="559" t="b">
        <f t="shared" si="11"/>
        <v>1</v>
      </c>
    </row>
    <row r="619" spans="1:10" hidden="1">
      <c r="A619" s="559" t="str">
        <f t="shared" si="14"/>
        <v>Residential_Building Shell_Attic Kneewall Insulation #2 (Electric Heat)_Delta_Therms_Mid-Life_Adj</v>
      </c>
      <c r="B619" t="s">
        <v>1165</v>
      </c>
      <c r="C619" t="s">
        <v>1169</v>
      </c>
      <c r="D619" t="s">
        <v>1421</v>
      </c>
      <c r="E619" s="560" t="s">
        <v>1420</v>
      </c>
      <c r="F619" s="571" t="e">
        <f>F640</f>
        <v>#DIV/0!</v>
      </c>
      <c r="H619" s="559" t="s">
        <v>1413</v>
      </c>
      <c r="I619" s="559" t="s">
        <v>1414</v>
      </c>
      <c r="J619" s="559" t="b">
        <f t="shared" si="11"/>
        <v>1</v>
      </c>
    </row>
    <row r="620" spans="1:10" hidden="1">
      <c r="A620" s="559" t="str">
        <f t="shared" si="14"/>
        <v>Residential_Building Shell_Attic Kneewall Insulation #2 (Electric Heat)_Fe</v>
      </c>
      <c r="B620" t="s">
        <v>1165</v>
      </c>
      <c r="C620" t="s">
        <v>1169</v>
      </c>
      <c r="D620" t="s">
        <v>1421</v>
      </c>
      <c r="E620" s="562" t="s">
        <v>1198</v>
      </c>
      <c r="F620" s="572">
        <v>3.1399999999999997E-2</v>
      </c>
      <c r="H620" s="559" t="s">
        <v>1413</v>
      </c>
      <c r="I620" s="559" t="s">
        <v>1414</v>
      </c>
      <c r="J620" s="559" t="b">
        <f t="shared" si="11"/>
        <v>0</v>
      </c>
    </row>
    <row r="621" spans="1:10" hidden="1">
      <c r="A621" s="559" t="str">
        <f t="shared" si="14"/>
        <v>Residential_Building Shell_Attic Kneewall Insulation #2 (Electric Heat)_29.3</v>
      </c>
      <c r="B621" t="s">
        <v>1165</v>
      </c>
      <c r="C621" t="s">
        <v>1169</v>
      </c>
      <c r="D621" t="s">
        <v>1421</v>
      </c>
      <c r="E621" s="562">
        <v>29.3</v>
      </c>
      <c r="F621" s="572">
        <v>29.3</v>
      </c>
      <c r="H621" s="559" t="s">
        <v>1413</v>
      </c>
      <c r="I621" s="559" t="s">
        <v>1414</v>
      </c>
      <c r="J621" s="559" t="b">
        <f t="shared" si="11"/>
        <v>0</v>
      </c>
    </row>
    <row r="622" spans="1:10" hidden="1">
      <c r="A622" s="559" t="str">
        <f t="shared" si="14"/>
        <v>Residential_Building Shell_Attic Kneewall Insulation #2 (Electric Heat)_Delta_kWh_heatingGas</v>
      </c>
      <c r="B622" t="s">
        <v>1165</v>
      </c>
      <c r="C622" t="s">
        <v>1169</v>
      </c>
      <c r="D622" t="s">
        <v>1421</v>
      </c>
      <c r="E622" s="560" t="s">
        <v>1387</v>
      </c>
      <c r="F622" s="571" t="e">
        <f>F618*F620*F621</f>
        <v>#DIV/0!</v>
      </c>
      <c r="H622" s="559" t="s">
        <v>1413</v>
      </c>
      <c r="I622" s="559" t="s">
        <v>1414</v>
      </c>
      <c r="J622" s="559" t="b">
        <f t="shared" si="11"/>
        <v>1</v>
      </c>
    </row>
    <row r="623" spans="1:10" hidden="1">
      <c r="A623" s="559" t="str">
        <f t="shared" si="14"/>
        <v>Residential_Building Shell_Attic Kneewall Insulation #2 (Electric Heat)_Delta_kWh_heatingGas_Mid-Life_Adj</v>
      </c>
      <c r="B623" t="s">
        <v>1165</v>
      </c>
      <c r="C623" t="s">
        <v>1169</v>
      </c>
      <c r="D623" t="s">
        <v>1421</v>
      </c>
      <c r="E623" s="560" t="s">
        <v>1388</v>
      </c>
      <c r="F623" s="571" t="e">
        <f>F619*F620*F621</f>
        <v>#DIV/0!</v>
      </c>
      <c r="H623" s="559" t="s">
        <v>1413</v>
      </c>
      <c r="I623" s="559" t="s">
        <v>1414</v>
      </c>
      <c r="J623" s="559" t="b">
        <f t="shared" si="11"/>
        <v>1</v>
      </c>
    </row>
    <row r="624" spans="1:10" hidden="1">
      <c r="A624" s="559" t="str">
        <f t="shared" si="14"/>
        <v>Residential_Building Shell_Attic Kneewall Insulation #2 (Electric Heat)_FLH_cooling</v>
      </c>
      <c r="B624" t="s">
        <v>1165</v>
      </c>
      <c r="C624" t="s">
        <v>1169</v>
      </c>
      <c r="D624" t="s">
        <v>1421</v>
      </c>
      <c r="E624" s="562" t="s">
        <v>1389</v>
      </c>
      <c r="F624" s="582" t="e">
        <f>INDEX('[18]CZ Inputs'!G:G,MATCH(A624&amp;"_"&amp;[18]Dashboard_EE!$K$3,'[18]CZ Inputs'!A:A,0))</f>
        <v>#N/A</v>
      </c>
      <c r="G624" s="559" t="s">
        <v>1369</v>
      </c>
      <c r="H624" s="559" t="s">
        <v>1413</v>
      </c>
      <c r="I624" s="559" t="s">
        <v>1414</v>
      </c>
      <c r="J624" s="559" t="b">
        <f t="shared" si="11"/>
        <v>1</v>
      </c>
    </row>
    <row r="625" spans="1:10" hidden="1">
      <c r="A625" s="559" t="str">
        <f t="shared" si="14"/>
        <v>Residential_Building Shell_Attic Kneewall Insulation #2 (Electric Heat)_CF</v>
      </c>
      <c r="B625" t="s">
        <v>1165</v>
      </c>
      <c r="C625" t="s">
        <v>1169</v>
      </c>
      <c r="D625" t="s">
        <v>1421</v>
      </c>
      <c r="E625" s="562" t="s">
        <v>1224</v>
      </c>
      <c r="F625" s="572">
        <v>0.68</v>
      </c>
      <c r="G625" s="559" t="s">
        <v>1266</v>
      </c>
      <c r="H625" s="559" t="s">
        <v>1413</v>
      </c>
      <c r="I625" s="559" t="s">
        <v>1414</v>
      </c>
      <c r="J625" s="559" t="b">
        <f t="shared" si="11"/>
        <v>0</v>
      </c>
    </row>
    <row r="626" spans="1:10" hidden="1">
      <c r="A626" s="559" t="str">
        <f t="shared" si="14"/>
        <v>Residential_Building Shell_Attic Kneewall Insulation #2 (Electric Heat)_Delta_kW</v>
      </c>
      <c r="B626" t="s">
        <v>1165</v>
      </c>
      <c r="C626" t="s">
        <v>1169</v>
      </c>
      <c r="D626" t="s">
        <v>1421</v>
      </c>
      <c r="E626" s="560" t="s">
        <v>1226</v>
      </c>
      <c r="F626" s="571" t="e">
        <f>(F603/F624)*F625</f>
        <v>#DIV/0!</v>
      </c>
      <c r="H626" s="559" t="s">
        <v>1413</v>
      </c>
      <c r="I626" s="559" t="s">
        <v>1414</v>
      </c>
      <c r="J626" s="559" t="b">
        <f t="shared" si="11"/>
        <v>1</v>
      </c>
    </row>
    <row r="627" spans="1:10" hidden="1">
      <c r="A627" s="559" t="str">
        <f t="shared" si="14"/>
        <v>Residential_Building Shell_Attic Kneewall Insulation #2 (Electric Heat)_Delta_kW_Mid-Life_Adj</v>
      </c>
      <c r="B627" t="s">
        <v>1165</v>
      </c>
      <c r="C627" t="s">
        <v>1169</v>
      </c>
      <c r="D627" t="s">
        <v>1421</v>
      </c>
      <c r="E627" s="560" t="s">
        <v>1390</v>
      </c>
      <c r="F627" s="571" t="e">
        <f>(F604/F624)*F625</f>
        <v>#DIV/0!</v>
      </c>
      <c r="H627" s="559" t="s">
        <v>1413</v>
      </c>
      <c r="I627" s="559" t="s">
        <v>1414</v>
      </c>
      <c r="J627" s="559" t="b">
        <f t="shared" si="11"/>
        <v>1</v>
      </c>
    </row>
    <row r="628" spans="1:10" hidden="1">
      <c r="A628" s="559" t="str">
        <f t="shared" si="14"/>
        <v>Residential_Building Shell_Attic Kneewall Insulation #2 (Electric Heat)_R_old</v>
      </c>
      <c r="B628" t="s">
        <v>1165</v>
      </c>
      <c r="C628" t="s">
        <v>1169</v>
      </c>
      <c r="D628" t="s">
        <v>1421</v>
      </c>
      <c r="E628" s="560" t="s">
        <v>1400</v>
      </c>
      <c r="F628" s="571">
        <f>[18]Dashboard_FS!$O$18</f>
        <v>0</v>
      </c>
      <c r="G628" s="559" t="s">
        <v>1187</v>
      </c>
      <c r="H628" s="559" t="s">
        <v>1413</v>
      </c>
      <c r="I628" s="559" t="s">
        <v>1414</v>
      </c>
      <c r="J628" s="559" t="b">
        <f t="shared" si="11"/>
        <v>1</v>
      </c>
    </row>
    <row r="629" spans="1:10" hidden="1">
      <c r="A629" s="559" t="str">
        <f t="shared" si="14"/>
        <v>Residential_Building Shell_Attic Kneewall Insulation #2 (Electric Heat)_R_wall</v>
      </c>
      <c r="B629" t="s">
        <v>1165</v>
      </c>
      <c r="C629" t="s">
        <v>1169</v>
      </c>
      <c r="D629" t="s">
        <v>1421</v>
      </c>
      <c r="E629" s="560" t="s">
        <v>1415</v>
      </c>
      <c r="F629" s="571">
        <f>[18]Dashboard_FS!$P$18</f>
        <v>0</v>
      </c>
      <c r="G629" s="559" t="s">
        <v>1187</v>
      </c>
      <c r="H629" s="559" t="s">
        <v>1413</v>
      </c>
      <c r="I629" s="559" t="s">
        <v>1414</v>
      </c>
      <c r="J629" s="559" t="b">
        <f t="shared" si="11"/>
        <v>1</v>
      </c>
    </row>
    <row r="630" spans="1:10" hidden="1">
      <c r="A630" s="559" t="str">
        <f t="shared" si="14"/>
        <v>Residential_Building Shell_Attic Kneewall Insulation #2 (Electric Heat)_A_wall</v>
      </c>
      <c r="B630" t="s">
        <v>1165</v>
      </c>
      <c r="C630" t="s">
        <v>1169</v>
      </c>
      <c r="D630" t="s">
        <v>1421</v>
      </c>
      <c r="E630" s="560" t="s">
        <v>1416</v>
      </c>
      <c r="F630" s="571">
        <f>[18]Dashboard_FS!$O$7</f>
        <v>0</v>
      </c>
      <c r="G630" s="559" t="s">
        <v>1187</v>
      </c>
      <c r="H630" s="559" t="s">
        <v>1413</v>
      </c>
      <c r="I630" s="559" t="s">
        <v>1414</v>
      </c>
      <c r="J630" s="559" t="b">
        <f t="shared" si="11"/>
        <v>1</v>
      </c>
    </row>
    <row r="631" spans="1:10" hidden="1">
      <c r="A631" s="559" t="str">
        <f t="shared" si="14"/>
        <v>Residential_Building Shell_Attic Kneewall Insulation #2 (Electric Heat)_Framing_factor_wall</v>
      </c>
      <c r="B631" t="s">
        <v>1165</v>
      </c>
      <c r="C631" t="s">
        <v>1169</v>
      </c>
      <c r="D631" t="s">
        <v>1421</v>
      </c>
      <c r="E631" s="562" t="s">
        <v>1417</v>
      </c>
      <c r="F631" s="572">
        <v>0.25</v>
      </c>
      <c r="H631" s="559" t="s">
        <v>1413</v>
      </c>
      <c r="I631" s="559" t="s">
        <v>1414</v>
      </c>
      <c r="J631" s="559" t="b">
        <f t="shared" si="11"/>
        <v>0</v>
      </c>
    </row>
    <row r="632" spans="1:10" hidden="1">
      <c r="A632" s="559" t="str">
        <f t="shared" ref="A632:A695" si="15">B632&amp;"_"&amp;C632&amp;"_"&amp;D632&amp;"_"&amp;E632</f>
        <v>Residential_Building Shell_Attic Kneewall Insulation #2 (Electric Heat)_24</v>
      </c>
      <c r="B632" t="s">
        <v>1165</v>
      </c>
      <c r="C632" t="s">
        <v>1169</v>
      </c>
      <c r="D632" t="s">
        <v>1421</v>
      </c>
      <c r="E632" s="562">
        <v>24</v>
      </c>
      <c r="F632" s="572">
        <v>24</v>
      </c>
      <c r="H632" s="559" t="s">
        <v>1413</v>
      </c>
      <c r="I632" s="559" t="s">
        <v>1414</v>
      </c>
      <c r="J632" s="559" t="b">
        <f t="shared" si="11"/>
        <v>0</v>
      </c>
    </row>
    <row r="633" spans="1:10" hidden="1">
      <c r="A633" s="559" t="str">
        <f t="shared" si="15"/>
        <v>Residential_Building Shell_Attic Kneewall Insulation #2 (Electric Heat)_HDD</v>
      </c>
      <c r="B633" t="s">
        <v>1165</v>
      </c>
      <c r="C633" t="s">
        <v>1169</v>
      </c>
      <c r="D633" t="s">
        <v>1421</v>
      </c>
      <c r="E633" s="562" t="s">
        <v>1380</v>
      </c>
      <c r="F633" s="582" t="e">
        <f>INDEX('[18]CZ Inputs'!G:G,MATCH(A633&amp;"_"&amp;[18]Dashboard_EE!$K$3,'[18]CZ Inputs'!A:A,0))</f>
        <v>#N/A</v>
      </c>
      <c r="G633" s="559" t="s">
        <v>1369</v>
      </c>
      <c r="H633" s="559" t="s">
        <v>1413</v>
      </c>
      <c r="I633" s="559" t="s">
        <v>1414</v>
      </c>
      <c r="J633" s="559" t="b">
        <f t="shared" si="11"/>
        <v>1</v>
      </c>
    </row>
    <row r="634" spans="1:10" hidden="1">
      <c r="A634" s="559" t="str">
        <f t="shared" si="15"/>
        <v>Residential_Building Shell_Attic Kneewall Insulation #2 (Electric Heat)_ηHeat</v>
      </c>
      <c r="B634" t="s">
        <v>1165</v>
      </c>
      <c r="C634" t="s">
        <v>1169</v>
      </c>
      <c r="D634" t="s">
        <v>1421</v>
      </c>
      <c r="E634" s="560" t="s">
        <v>1381</v>
      </c>
      <c r="F634" s="571" t="e">
        <f>[18]Dashboard_FS!$K$8</f>
        <v>#REF!</v>
      </c>
      <c r="G634" s="559" t="s">
        <v>1187</v>
      </c>
      <c r="H634" s="559" t="s">
        <v>1413</v>
      </c>
      <c r="I634" s="559" t="s">
        <v>1414</v>
      </c>
      <c r="J634" s="559" t="b">
        <f t="shared" si="11"/>
        <v>1</v>
      </c>
    </row>
    <row r="635" spans="1:10" hidden="1">
      <c r="A635" s="559" t="str">
        <f t="shared" si="15"/>
        <v>Residential_Building Shell_Attic Kneewall Insulation #2 (Electric Heat)_ηHeat_Mid-Life_Adj</v>
      </c>
      <c r="B635" t="s">
        <v>1165</v>
      </c>
      <c r="C635" t="s">
        <v>1169</v>
      </c>
      <c r="D635" t="s">
        <v>1421</v>
      </c>
      <c r="E635" s="560" t="s">
        <v>1382</v>
      </c>
      <c r="F635" s="571" t="e">
        <f>[18]Dashboard_FS!$K$8</f>
        <v>#REF!</v>
      </c>
      <c r="G635" s="559" t="s">
        <v>1187</v>
      </c>
      <c r="H635" s="559" t="s">
        <v>1413</v>
      </c>
      <c r="I635" s="559" t="s">
        <v>1414</v>
      </c>
      <c r="J635" s="559" t="b">
        <f t="shared" si="11"/>
        <v>1</v>
      </c>
    </row>
    <row r="636" spans="1:10" hidden="1">
      <c r="A636" s="559" t="str">
        <f t="shared" si="15"/>
        <v>Residential_Building Shell_Attic Kneewall Insulation #2 (Electric Heat)_100000</v>
      </c>
      <c r="B636" t="s">
        <v>1165</v>
      </c>
      <c r="C636" t="s">
        <v>1169</v>
      </c>
      <c r="D636" t="s">
        <v>1421</v>
      </c>
      <c r="E636" s="562">
        <v>100000</v>
      </c>
      <c r="F636" s="572">
        <v>100000</v>
      </c>
      <c r="H636" s="559" t="s">
        <v>1413</v>
      </c>
      <c r="I636" s="559" t="s">
        <v>1414</v>
      </c>
      <c r="J636" s="559" t="b">
        <f t="shared" si="11"/>
        <v>0</v>
      </c>
    </row>
    <row r="637" spans="1:10" hidden="1">
      <c r="A637" s="559" t="str">
        <f t="shared" si="15"/>
        <v>Residential_Building Shell_Attic Kneewall Insulation #2 (Electric Heat)_ADJWallHeat</v>
      </c>
      <c r="B637" t="s">
        <v>1165</v>
      </c>
      <c r="C637" t="s">
        <v>1169</v>
      </c>
      <c r="D637" t="s">
        <v>1421</v>
      </c>
      <c r="E637" s="562" t="s">
        <v>1419</v>
      </c>
      <c r="F637" s="582">
        <v>0.63</v>
      </c>
      <c r="H637" s="559" t="s">
        <v>1413</v>
      </c>
      <c r="I637" s="559" t="s">
        <v>1414</v>
      </c>
      <c r="J637" s="559" t="b">
        <f t="shared" si="11"/>
        <v>0</v>
      </c>
    </row>
    <row r="638" spans="1:10" hidden="1">
      <c r="A638" s="559" t="str">
        <f t="shared" si="15"/>
        <v>Residential_Building Shell_Attic Kneewall Insulation #2 (Electric Heat)_%GasHeat</v>
      </c>
      <c r="B638" t="s">
        <v>1165</v>
      </c>
      <c r="C638" t="s">
        <v>1169</v>
      </c>
      <c r="D638" t="s">
        <v>1421</v>
      </c>
      <c r="E638" s="562" t="s">
        <v>1410</v>
      </c>
      <c r="F638" s="572">
        <v>0</v>
      </c>
      <c r="G638" s="559" t="s">
        <v>1383</v>
      </c>
      <c r="H638" s="559" t="s">
        <v>1413</v>
      </c>
      <c r="I638" s="559" t="s">
        <v>1414</v>
      </c>
      <c r="J638" s="559" t="b">
        <f t="shared" si="11"/>
        <v>0</v>
      </c>
    </row>
    <row r="639" spans="1:10" hidden="1">
      <c r="A639" s="559" t="str">
        <f t="shared" si="15"/>
        <v>Residential_Building Shell_Attic Kneewall Insulation #2 (Electric Heat)_Delta_Therms</v>
      </c>
      <c r="B639" t="s">
        <v>1165</v>
      </c>
      <c r="C639" t="s">
        <v>1169</v>
      </c>
      <c r="D639" t="s">
        <v>1421</v>
      </c>
      <c r="E639" s="560" t="s">
        <v>1301</v>
      </c>
      <c r="F639" s="571" t="e">
        <f xml:space="preserve"> (((1/ F628 - 1/ F629) * F630 * (1 - F631) * F632 * F633) / (F634 * F636)) * F637 * F638</f>
        <v>#DIV/0!</v>
      </c>
      <c r="H639" s="559" t="s">
        <v>1413</v>
      </c>
      <c r="I639" s="559" t="s">
        <v>1414</v>
      </c>
      <c r="J639" s="559" t="b">
        <f t="shared" si="11"/>
        <v>1</v>
      </c>
    </row>
    <row r="640" spans="1:10" hidden="1">
      <c r="A640" s="559" t="str">
        <f t="shared" si="15"/>
        <v>Residential_Building Shell_Attic Kneewall Insulation #2 (Electric Heat)_Delta_Therms_Mid-Life_Adj</v>
      </c>
      <c r="B640" t="s">
        <v>1165</v>
      </c>
      <c r="C640" t="s">
        <v>1169</v>
      </c>
      <c r="D640" t="s">
        <v>1421</v>
      </c>
      <c r="E640" s="560" t="s">
        <v>1420</v>
      </c>
      <c r="F640" s="571" t="e">
        <f xml:space="preserve"> (((1/ F628 - 1/ F629) * F630 * (1 - F631) * F632 * F633) / (F635 * F636)) * F637 * F638</f>
        <v>#DIV/0!</v>
      </c>
      <c r="H640" s="559" t="s">
        <v>1413</v>
      </c>
      <c r="I640" s="559" t="s">
        <v>1414</v>
      </c>
      <c r="J640" s="559" t="b">
        <f t="shared" si="11"/>
        <v>1</v>
      </c>
    </row>
    <row r="641" spans="1:10" hidden="1">
      <c r="A641" s="559" t="str">
        <f t="shared" si="15"/>
        <v>Residential_Building Shell_Attic Kneewall Insulation #2 (Electric Heat)_Remaining Year kWh</v>
      </c>
      <c r="B641" t="s">
        <v>1165</v>
      </c>
      <c r="C641" t="s">
        <v>1169</v>
      </c>
      <c r="D641" t="s">
        <v>1421</v>
      </c>
      <c r="E641" s="568" t="s">
        <v>1394</v>
      </c>
      <c r="F641" s="574" t="e">
        <f>F603+F616+F622</f>
        <v>#DIV/0!</v>
      </c>
      <c r="H641" s="559" t="s">
        <v>1413</v>
      </c>
      <c r="I641" s="559" t="s">
        <v>1414</v>
      </c>
      <c r="J641" s="559" t="b">
        <f t="shared" si="11"/>
        <v>1</v>
      </c>
    </row>
    <row r="642" spans="1:10" hidden="1">
      <c r="A642" s="559" t="str">
        <f t="shared" si="15"/>
        <v>Residential_Building Shell_Attic Kneewall Insulation #2 (Electric Heat)_kWh Saved per Unit</v>
      </c>
      <c r="B642" t="s">
        <v>1165</v>
      </c>
      <c r="C642" t="s">
        <v>1169</v>
      </c>
      <c r="D642" t="s">
        <v>1421</v>
      </c>
      <c r="E642" s="568" t="s">
        <v>1227</v>
      </c>
      <c r="F642" s="574" t="e">
        <f>F604+F617+F623</f>
        <v>#DIV/0!</v>
      </c>
      <c r="H642" s="559" t="s">
        <v>1413</v>
      </c>
      <c r="I642" s="559" t="s">
        <v>1414</v>
      </c>
      <c r="J642" s="559" t="b">
        <f t="shared" si="11"/>
        <v>1</v>
      </c>
    </row>
    <row r="643" spans="1:10" hidden="1">
      <c r="A643" s="559" t="str">
        <f t="shared" si="15"/>
        <v>Residential_Building Shell_Attic Kneewall Insulation #2 (Electric Heat)_Remaining Year kW</v>
      </c>
      <c r="B643" t="s">
        <v>1165</v>
      </c>
      <c r="C643" t="s">
        <v>1169</v>
      </c>
      <c r="D643" t="s">
        <v>1421</v>
      </c>
      <c r="E643" s="568" t="s">
        <v>1395</v>
      </c>
      <c r="F643" s="574" t="e">
        <f>F626</f>
        <v>#DIV/0!</v>
      </c>
      <c r="H643" s="559" t="s">
        <v>1413</v>
      </c>
      <c r="I643" s="559" t="s">
        <v>1414</v>
      </c>
      <c r="J643" s="559" t="b">
        <f t="shared" si="11"/>
        <v>1</v>
      </c>
    </row>
    <row r="644" spans="1:10" hidden="1">
      <c r="A644" s="559" t="str">
        <f t="shared" si="15"/>
        <v>Residential_Building Shell_Attic Kneewall Insulation #2 (Electric Heat)_Coincident Peak kW Saved per Unit</v>
      </c>
      <c r="B644" t="s">
        <v>1165</v>
      </c>
      <c r="C644" t="s">
        <v>1169</v>
      </c>
      <c r="D644" t="s">
        <v>1421</v>
      </c>
      <c r="E644" s="568" t="s">
        <v>1228</v>
      </c>
      <c r="F644" s="574" t="e">
        <f>F627</f>
        <v>#DIV/0!</v>
      </c>
      <c r="H644" s="559" t="s">
        <v>1413</v>
      </c>
      <c r="I644" s="559" t="s">
        <v>1414</v>
      </c>
      <c r="J644" s="559" t="b">
        <f t="shared" si="11"/>
        <v>1</v>
      </c>
    </row>
    <row r="645" spans="1:10" hidden="1">
      <c r="A645" s="559" t="str">
        <f t="shared" si="15"/>
        <v>Residential_Building Shell_Attic Kneewall Insulation #2 (Electric Heat)_Remaining Year Therms</v>
      </c>
      <c r="B645" t="s">
        <v>1165</v>
      </c>
      <c r="C645" t="s">
        <v>1169</v>
      </c>
      <c r="D645" t="s">
        <v>1421</v>
      </c>
      <c r="E645" s="568" t="s">
        <v>1396</v>
      </c>
      <c r="F645" s="574" t="e">
        <f>F639</f>
        <v>#DIV/0!</v>
      </c>
      <c r="H645" s="559" t="s">
        <v>1413</v>
      </c>
      <c r="I645" s="559" t="s">
        <v>1414</v>
      </c>
      <c r="J645" s="559" t="b">
        <f t="shared" si="11"/>
        <v>1</v>
      </c>
    </row>
    <row r="646" spans="1:10" hidden="1">
      <c r="A646" s="559" t="str">
        <f t="shared" si="15"/>
        <v>Residential_Building Shell_Attic Kneewall Insulation #2 (Electric Heat)_Therms Saved per Unit</v>
      </c>
      <c r="B646" t="s">
        <v>1165</v>
      </c>
      <c r="C646" t="s">
        <v>1169</v>
      </c>
      <c r="D646" t="s">
        <v>1421</v>
      </c>
      <c r="E646" s="568" t="s">
        <v>1323</v>
      </c>
      <c r="F646" s="574" t="e">
        <f>F640</f>
        <v>#DIV/0!</v>
      </c>
      <c r="H646" s="559" t="s">
        <v>1413</v>
      </c>
      <c r="I646" s="559" t="s">
        <v>1414</v>
      </c>
      <c r="J646" s="559" t="b">
        <f t="shared" si="11"/>
        <v>1</v>
      </c>
    </row>
    <row r="647" spans="1:10" hidden="1">
      <c r="A647" s="559" t="str">
        <f t="shared" si="15"/>
        <v>Residential_Building Shell_Attic Kneewall Insulation #2 (Electric Heat)_Remaining Life</v>
      </c>
      <c r="B647" t="s">
        <v>1165</v>
      </c>
      <c r="C647" t="s">
        <v>1169</v>
      </c>
      <c r="D647" t="s">
        <v>1421</v>
      </c>
      <c r="E647" s="568" t="s">
        <v>1397</v>
      </c>
      <c r="F647" s="574">
        <v>10</v>
      </c>
      <c r="H647" s="559" t="s">
        <v>1413</v>
      </c>
      <c r="I647" s="559" t="s">
        <v>1414</v>
      </c>
      <c r="J647" s="559" t="b">
        <f t="shared" ref="J647:J712" si="16">_xlfn.ISFORMULA(F647)</f>
        <v>0</v>
      </c>
    </row>
    <row r="648" spans="1:10" hidden="1">
      <c r="A648" s="559" t="str">
        <f t="shared" si="15"/>
        <v>Residential_Building Shell_Attic Kneewall Insulation #2 (Electric Heat)_Lifetime (years)</v>
      </c>
      <c r="B648" t="s">
        <v>1165</v>
      </c>
      <c r="C648" t="s">
        <v>1169</v>
      </c>
      <c r="D648" t="s">
        <v>1421</v>
      </c>
      <c r="E648" s="568" t="s">
        <v>1231</v>
      </c>
      <c r="F648" s="575">
        <v>30</v>
      </c>
      <c r="H648" s="559" t="s">
        <v>1413</v>
      </c>
      <c r="I648" s="559" t="s">
        <v>1414</v>
      </c>
      <c r="J648" s="559" t="b">
        <f t="shared" si="16"/>
        <v>0</v>
      </c>
    </row>
    <row r="649" spans="1:10" hidden="1">
      <c r="A649" s="559" t="str">
        <f t="shared" si="15"/>
        <v>Residential_Building Shell_Attic Kneewall Insulation #2 (Electric Heat)_Incremental Cost</v>
      </c>
      <c r="B649" t="s">
        <v>1165</v>
      </c>
      <c r="C649" t="s">
        <v>1169</v>
      </c>
      <c r="D649" t="s">
        <v>1421</v>
      </c>
      <c r="E649" s="568" t="s">
        <v>1232</v>
      </c>
      <c r="F649" s="570">
        <f>0.9*F593</f>
        <v>0</v>
      </c>
      <c r="G649" s="559" t="s">
        <v>1398</v>
      </c>
      <c r="H649" s="559" t="s">
        <v>1413</v>
      </c>
      <c r="I649" s="559" t="s">
        <v>1414</v>
      </c>
      <c r="J649" s="559" t="b">
        <f t="shared" si="16"/>
        <v>1</v>
      </c>
    </row>
    <row r="650" spans="1:10" hidden="1">
      <c r="A650" s="559" t="str">
        <f t="shared" si="15"/>
        <v>Residential_Building Shell_Attic Kneewall Insulation #2 (Electric Heat)_BTU Impact_Existing_Fossil Fuel</v>
      </c>
      <c r="B650" t="s">
        <v>1165</v>
      </c>
      <c r="C650" t="s">
        <v>1169</v>
      </c>
      <c r="D650" t="s">
        <v>1421</v>
      </c>
      <c r="E650" s="568" t="s">
        <v>1234</v>
      </c>
      <c r="F650" s="569">
        <v>0</v>
      </c>
      <c r="H650" s="559" t="s">
        <v>1413</v>
      </c>
      <c r="I650" s="559" t="s">
        <v>1414</v>
      </c>
      <c r="J650" s="559" t="b">
        <f t="shared" si="16"/>
        <v>0</v>
      </c>
    </row>
    <row r="651" spans="1:10" hidden="1">
      <c r="A651" s="559" t="str">
        <f t="shared" si="15"/>
        <v>Residential_Building Shell_Attic Kneewall Insulation #2 (Electric Heat)_BTU Impact_Existing_Winter Electricity</v>
      </c>
      <c r="B651" t="s">
        <v>1165</v>
      </c>
      <c r="C651" t="s">
        <v>1169</v>
      </c>
      <c r="D651" t="s">
        <v>1421</v>
      </c>
      <c r="E651" s="568" t="s">
        <v>1235</v>
      </c>
      <c r="F651" s="569">
        <v>0</v>
      </c>
      <c r="H651" s="559" t="s">
        <v>1413</v>
      </c>
      <c r="I651" s="559" t="s">
        <v>1414</v>
      </c>
      <c r="J651" s="559" t="b">
        <f t="shared" si="16"/>
        <v>0</v>
      </c>
    </row>
    <row r="652" spans="1:10" hidden="1">
      <c r="A652" s="559" t="str">
        <f t="shared" si="15"/>
        <v>Residential_Building Shell_Attic Kneewall Insulation #2 (Electric Heat)_BTU Impact_Existing_Summer Electricity</v>
      </c>
      <c r="B652" t="s">
        <v>1165</v>
      </c>
      <c r="C652" t="s">
        <v>1169</v>
      </c>
      <c r="D652" t="s">
        <v>1421</v>
      </c>
      <c r="E652" s="568" t="s">
        <v>1236</v>
      </c>
      <c r="F652" s="569">
        <v>0</v>
      </c>
      <c r="H652" s="559" t="s">
        <v>1413</v>
      </c>
      <c r="I652" s="559" t="s">
        <v>1414</v>
      </c>
      <c r="J652" s="559" t="b">
        <f t="shared" si="16"/>
        <v>0</v>
      </c>
    </row>
    <row r="653" spans="1:10" hidden="1">
      <c r="A653" s="559" t="str">
        <f t="shared" si="15"/>
        <v>Residential_Building Shell_Attic Kneewall Insulation #2 (Electric Heat)_BTU Impact_New_Fossil Fuel</v>
      </c>
      <c r="B653" t="s">
        <v>1165</v>
      </c>
      <c r="C653" t="s">
        <v>1169</v>
      </c>
      <c r="D653" t="s">
        <v>1421</v>
      </c>
      <c r="E653" s="568" t="s">
        <v>1237</v>
      </c>
      <c r="F653" s="569">
        <v>0</v>
      </c>
      <c r="H653" s="559" t="s">
        <v>1413</v>
      </c>
      <c r="I653" s="559" t="s">
        <v>1414</v>
      </c>
      <c r="J653" s="559" t="b">
        <f t="shared" si="16"/>
        <v>0</v>
      </c>
    </row>
    <row r="654" spans="1:10" hidden="1">
      <c r="A654" s="559" t="str">
        <f t="shared" si="15"/>
        <v>Residential_Building Shell_Attic Kneewall Insulation #2 (Electric Heat)_BTU Impact_New_Winter Electricity</v>
      </c>
      <c r="B654" t="s">
        <v>1165</v>
      </c>
      <c r="C654" t="s">
        <v>1169</v>
      </c>
      <c r="D654" t="s">
        <v>1421</v>
      </c>
      <c r="E654" s="568" t="s">
        <v>1238</v>
      </c>
      <c r="F654" s="569" t="e">
        <f>-F616*3412</f>
        <v>#DIV/0!</v>
      </c>
      <c r="H654" s="559" t="s">
        <v>1413</v>
      </c>
      <c r="I654" s="559" t="s">
        <v>1414</v>
      </c>
      <c r="J654" s="559" t="b">
        <f t="shared" si="16"/>
        <v>1</v>
      </c>
    </row>
    <row r="655" spans="1:10" hidden="1">
      <c r="A655" s="559" t="str">
        <f t="shared" si="15"/>
        <v>Residential_Building Shell_Attic Kneewall Insulation #2 (Electric Heat)_BTU Impact_New_Summer Electricity</v>
      </c>
      <c r="B655" t="s">
        <v>1165</v>
      </c>
      <c r="C655" t="s">
        <v>1169</v>
      </c>
      <c r="D655" t="s">
        <v>1421</v>
      </c>
      <c r="E655" s="568" t="s">
        <v>1239</v>
      </c>
      <c r="F655" s="569" t="e">
        <f>-F603*3412</f>
        <v>#DIV/0!</v>
      </c>
      <c r="H655" s="559" t="s">
        <v>1413</v>
      </c>
      <c r="I655" s="559" t="s">
        <v>1414</v>
      </c>
      <c r="J655" s="559" t="b">
        <f t="shared" si="16"/>
        <v>1</v>
      </c>
    </row>
    <row r="656" spans="1:10" hidden="1">
      <c r="A656" s="559" t="str">
        <f t="shared" si="15"/>
        <v>Residential_Building Shell_Attic Kneewall Insulation #2 (Electric Heat)_</v>
      </c>
      <c r="B656" t="s">
        <v>1165</v>
      </c>
      <c r="C656" t="s">
        <v>1169</v>
      </c>
      <c r="D656" t="s">
        <v>1421</v>
      </c>
      <c r="H656" s="559" t="s">
        <v>1413</v>
      </c>
      <c r="I656" s="559" t="s">
        <v>1414</v>
      </c>
      <c r="J656" s="559" t="b">
        <f t="shared" si="16"/>
        <v>0</v>
      </c>
    </row>
    <row r="657" spans="1:10" hidden="1">
      <c r="A657" s="559" t="str">
        <f t="shared" si="15"/>
        <v>Residential_Building Shell_Wall Insulation (Electric Heat)_R_old</v>
      </c>
      <c r="B657" t="s">
        <v>1165</v>
      </c>
      <c r="C657" t="s">
        <v>1169</v>
      </c>
      <c r="D657" t="s">
        <v>1422</v>
      </c>
      <c r="E657" s="562" t="s">
        <v>1400</v>
      </c>
      <c r="F657" s="572">
        <f>[18]Dashboard_FS!$O$19</f>
        <v>1</v>
      </c>
      <c r="G657" s="559" t="s">
        <v>1423</v>
      </c>
      <c r="H657" s="559" t="s">
        <v>1413</v>
      </c>
      <c r="I657" s="559" t="s">
        <v>1414</v>
      </c>
      <c r="J657" s="559" t="b">
        <f t="shared" si="16"/>
        <v>1</v>
      </c>
    </row>
    <row r="658" spans="1:10" hidden="1">
      <c r="A658" s="559" t="str">
        <f t="shared" si="15"/>
        <v>Residential_Building Shell_Wall Insulation (Electric Heat)_R_wall</v>
      </c>
      <c r="B658" t="s">
        <v>1165</v>
      </c>
      <c r="C658" t="s">
        <v>1169</v>
      </c>
      <c r="D658" t="s">
        <v>1422</v>
      </c>
      <c r="E658" s="562" t="s">
        <v>1415</v>
      </c>
      <c r="F658" s="572">
        <f>[18]Dashboard_FS!$P$19</f>
        <v>0</v>
      </c>
      <c r="H658" s="559" t="s">
        <v>1413</v>
      </c>
      <c r="I658" s="559" t="s">
        <v>1414</v>
      </c>
      <c r="J658" s="559" t="b">
        <f t="shared" si="16"/>
        <v>1</v>
      </c>
    </row>
    <row r="659" spans="1:10" hidden="1">
      <c r="A659" s="559" t="str">
        <f t="shared" si="15"/>
        <v>Residential_Building Shell_Wall Insulation (Electric Heat)_A_wall</v>
      </c>
      <c r="B659" t="s">
        <v>1165</v>
      </c>
      <c r="C659" t="s">
        <v>1169</v>
      </c>
      <c r="D659" t="s">
        <v>1422</v>
      </c>
      <c r="E659" s="560" t="s">
        <v>1416</v>
      </c>
      <c r="F659" s="571">
        <f>[18]Dashboard_FS!$O$8</f>
        <v>0</v>
      </c>
      <c r="G659" s="559" t="s">
        <v>1361</v>
      </c>
      <c r="H659" s="559" t="s">
        <v>1413</v>
      </c>
      <c r="I659" s="559" t="s">
        <v>1414</v>
      </c>
      <c r="J659" s="559" t="b">
        <f t="shared" si="16"/>
        <v>1</v>
      </c>
    </row>
    <row r="660" spans="1:10" hidden="1">
      <c r="A660" s="559" t="str">
        <f t="shared" si="15"/>
        <v>Residential_Building Shell_Wall Insulation (Electric Heat)_Framing_factor_wall</v>
      </c>
      <c r="B660" t="s">
        <v>1165</v>
      </c>
      <c r="C660" t="s">
        <v>1169</v>
      </c>
      <c r="D660" t="s">
        <v>1422</v>
      </c>
      <c r="E660" s="562" t="s">
        <v>1417</v>
      </c>
      <c r="F660" s="572">
        <v>0.25</v>
      </c>
      <c r="H660" s="559" t="s">
        <v>1413</v>
      </c>
      <c r="I660" s="559" t="s">
        <v>1414</v>
      </c>
      <c r="J660" s="559" t="b">
        <f t="shared" si="16"/>
        <v>0</v>
      </c>
    </row>
    <row r="661" spans="1:10" hidden="1">
      <c r="A661" s="559" t="str">
        <f t="shared" si="15"/>
        <v>Residential_Building Shell_Wall Insulation (Electric Heat)_24</v>
      </c>
      <c r="B661" t="s">
        <v>1165</v>
      </c>
      <c r="C661" t="s">
        <v>1169</v>
      </c>
      <c r="D661" t="s">
        <v>1422</v>
      </c>
      <c r="E661" s="562">
        <v>24</v>
      </c>
      <c r="F661" s="572">
        <v>24</v>
      </c>
      <c r="H661" s="559" t="s">
        <v>1413</v>
      </c>
      <c r="I661" s="559" t="s">
        <v>1414</v>
      </c>
      <c r="J661" s="559" t="b">
        <f t="shared" si="16"/>
        <v>0</v>
      </c>
    </row>
    <row r="662" spans="1:10" hidden="1">
      <c r="A662" s="559" t="str">
        <f t="shared" si="15"/>
        <v>Residential_Building Shell_Wall Insulation (Electric Heat)_CDD</v>
      </c>
      <c r="B662" t="s">
        <v>1165</v>
      </c>
      <c r="C662" t="s">
        <v>1169</v>
      </c>
      <c r="D662" t="s">
        <v>1422</v>
      </c>
      <c r="E662" s="562" t="s">
        <v>1368</v>
      </c>
      <c r="F662" s="582" t="e">
        <f>INDEX('[18]CZ Inputs'!G:G,MATCH(A662&amp;"_"&amp;[18]Dashboard_EE!$K$3,'[18]CZ Inputs'!A:A,0))</f>
        <v>#N/A</v>
      </c>
      <c r="G662" s="559" t="s">
        <v>1369</v>
      </c>
      <c r="H662" s="559" t="s">
        <v>1413</v>
      </c>
      <c r="I662" s="559" t="s">
        <v>1414</v>
      </c>
      <c r="J662" s="559" t="b">
        <f t="shared" si="16"/>
        <v>1</v>
      </c>
    </row>
    <row r="663" spans="1:10" hidden="1">
      <c r="A663" s="559" t="str">
        <f t="shared" si="15"/>
        <v>Residential_Building Shell_Wall Insulation (Electric Heat)_DUA</v>
      </c>
      <c r="B663" t="s">
        <v>1165</v>
      </c>
      <c r="C663" t="s">
        <v>1169</v>
      </c>
      <c r="D663" t="s">
        <v>1422</v>
      </c>
      <c r="E663" s="562" t="s">
        <v>1370</v>
      </c>
      <c r="F663" s="572">
        <v>0.75</v>
      </c>
      <c r="H663" s="559" t="s">
        <v>1413</v>
      </c>
      <c r="I663" s="559" t="s">
        <v>1414</v>
      </c>
      <c r="J663" s="559" t="b">
        <f t="shared" si="16"/>
        <v>0</v>
      </c>
    </row>
    <row r="664" spans="1:10" hidden="1">
      <c r="A664" s="559" t="str">
        <f t="shared" si="15"/>
        <v>Residential_Building Shell_Wall Insulation (Electric Heat)_1000</v>
      </c>
      <c r="B664" t="s">
        <v>1165</v>
      </c>
      <c r="C664" t="s">
        <v>1169</v>
      </c>
      <c r="D664" t="s">
        <v>1422</v>
      </c>
      <c r="E664" s="562">
        <v>1000</v>
      </c>
      <c r="F664" s="572">
        <v>1000</v>
      </c>
      <c r="H664" s="559" t="s">
        <v>1413</v>
      </c>
      <c r="I664" s="559" t="s">
        <v>1414</v>
      </c>
      <c r="J664" s="559" t="b">
        <f t="shared" si="16"/>
        <v>0</v>
      </c>
    </row>
    <row r="665" spans="1:10" hidden="1">
      <c r="A665" s="559" t="str">
        <f t="shared" si="15"/>
        <v>Residential_Building Shell_Wall Insulation (Electric Heat)_ηCool</v>
      </c>
      <c r="B665" t="s">
        <v>1165</v>
      </c>
      <c r="C665" t="s">
        <v>1169</v>
      </c>
      <c r="D665" t="s">
        <v>1422</v>
      </c>
      <c r="E665" s="560" t="s">
        <v>1371</v>
      </c>
      <c r="F665" s="585" t="e">
        <f>[18]Dashboard_FS!$K$13</f>
        <v>#REF!</v>
      </c>
      <c r="G665" s="559" t="s">
        <v>1187</v>
      </c>
      <c r="H665" s="559" t="s">
        <v>1413</v>
      </c>
      <c r="I665" s="559" t="s">
        <v>1414</v>
      </c>
      <c r="J665" s="559" t="b">
        <f t="shared" si="16"/>
        <v>1</v>
      </c>
    </row>
    <row r="666" spans="1:10" hidden="1">
      <c r="A666" s="559" t="str">
        <f t="shared" si="15"/>
        <v>Residential_Building Shell_Wall Insulation (Electric Heat)_ηCool_Mid-Life_Adj</v>
      </c>
      <c r="B666" t="s">
        <v>1165</v>
      </c>
      <c r="C666" t="s">
        <v>1169</v>
      </c>
      <c r="D666" t="s">
        <v>1422</v>
      </c>
      <c r="E666" s="560" t="s">
        <v>1372</v>
      </c>
      <c r="F666" s="571" t="e">
        <f>[18]Dashboard_FS!$K$13</f>
        <v>#REF!</v>
      </c>
      <c r="G666" s="559" t="s">
        <v>1187</v>
      </c>
      <c r="H666" s="559" t="s">
        <v>1413</v>
      </c>
      <c r="I666" s="559" t="s">
        <v>1414</v>
      </c>
      <c r="J666" s="559" t="b">
        <f t="shared" si="16"/>
        <v>1</v>
      </c>
    </row>
    <row r="667" spans="1:10" hidden="1">
      <c r="A667" s="559" t="str">
        <f t="shared" si="15"/>
        <v>Residential_Building Shell_Wall Insulation (Electric Heat)_ADJWallCool</v>
      </c>
      <c r="B667" t="s">
        <v>1165</v>
      </c>
      <c r="C667" t="s">
        <v>1169</v>
      </c>
      <c r="D667" t="s">
        <v>1422</v>
      </c>
      <c r="E667" s="562" t="s">
        <v>1418</v>
      </c>
      <c r="F667" s="582">
        <v>0.75</v>
      </c>
      <c r="H667" s="559" t="s">
        <v>1413</v>
      </c>
      <c r="I667" s="559" t="s">
        <v>1414</v>
      </c>
      <c r="J667" s="559" t="b">
        <f t="shared" si="16"/>
        <v>0</v>
      </c>
    </row>
    <row r="668" spans="1:10" hidden="1">
      <c r="A668" s="559" t="str">
        <f t="shared" si="15"/>
        <v>Residential_Building Shell_Wall Insulation (Electric Heat)_%Cool</v>
      </c>
      <c r="B668" t="s">
        <v>1165</v>
      </c>
      <c r="C668" t="s">
        <v>1169</v>
      </c>
      <c r="D668" t="s">
        <v>1422</v>
      </c>
      <c r="E668" s="562" t="s">
        <v>1344</v>
      </c>
      <c r="F668" s="572">
        <v>1</v>
      </c>
      <c r="H668" s="559" t="s">
        <v>1413</v>
      </c>
      <c r="I668" s="559" t="s">
        <v>1414</v>
      </c>
      <c r="J668" s="559" t="b">
        <f t="shared" si="16"/>
        <v>0</v>
      </c>
    </row>
    <row r="669" spans="1:10" hidden="1">
      <c r="A669" s="559" t="str">
        <f t="shared" si="15"/>
        <v>Residential_Building Shell_Wall Insulation (Electric Heat)_Delta_kWh_cooling</v>
      </c>
      <c r="B669" t="s">
        <v>1165</v>
      </c>
      <c r="C669" t="s">
        <v>1169</v>
      </c>
      <c r="D669" t="s">
        <v>1422</v>
      </c>
      <c r="E669" s="560" t="s">
        <v>1377</v>
      </c>
      <c r="F669" s="571" t="e">
        <f xml:space="preserve"> ((((1/ F657 - 1/ F658) * F659 * (1 - F660)) * F661 * F662 * F663) / (F664 * F665)) * F667 * F668</f>
        <v>#DIV/0!</v>
      </c>
      <c r="H669" s="559" t="s">
        <v>1413</v>
      </c>
      <c r="I669" s="559" t="s">
        <v>1414</v>
      </c>
      <c r="J669" s="559" t="b">
        <f t="shared" si="16"/>
        <v>1</v>
      </c>
    </row>
    <row r="670" spans="1:10" hidden="1">
      <c r="A670" s="559" t="str">
        <f t="shared" si="15"/>
        <v>Residential_Building Shell_Wall Insulation (Electric Heat)_Delta_kWh_cooling_Mid-Life_Adj</v>
      </c>
      <c r="B670" t="s">
        <v>1165</v>
      </c>
      <c r="C670" t="s">
        <v>1169</v>
      </c>
      <c r="D670" t="s">
        <v>1422</v>
      </c>
      <c r="E670" s="560" t="s">
        <v>1378</v>
      </c>
      <c r="F670" s="571" t="e">
        <f xml:space="preserve"> ((((1/ F657 - 1/ F658) * F659 * (1 - F660)) * F661 * F662 * F663) / (F664 * F666)) * F667 * F668</f>
        <v>#DIV/0!</v>
      </c>
      <c r="H670" s="559" t="s">
        <v>1413</v>
      </c>
      <c r="I670" s="559" t="s">
        <v>1414</v>
      </c>
      <c r="J670" s="559" t="b">
        <f t="shared" si="16"/>
        <v>1</v>
      </c>
    </row>
    <row r="671" spans="1:10" hidden="1">
      <c r="A671" s="559" t="str">
        <f t="shared" si="15"/>
        <v>Residential_Building Shell_Wall Insulation (Electric Heat)_R_old</v>
      </c>
      <c r="B671" t="s">
        <v>1165</v>
      </c>
      <c r="C671" t="s">
        <v>1169</v>
      </c>
      <c r="D671" t="s">
        <v>1422</v>
      </c>
      <c r="E671" s="562" t="s">
        <v>1400</v>
      </c>
      <c r="F671" s="572">
        <f>[18]Dashboard_FS!$O$19</f>
        <v>1</v>
      </c>
      <c r="G671" s="559" t="s">
        <v>1423</v>
      </c>
      <c r="H671" s="559" t="s">
        <v>1413</v>
      </c>
      <c r="I671" s="559" t="s">
        <v>1414</v>
      </c>
      <c r="J671" s="559" t="b">
        <f t="shared" si="16"/>
        <v>1</v>
      </c>
    </row>
    <row r="672" spans="1:10" hidden="1">
      <c r="A672" s="559" t="str">
        <f t="shared" si="15"/>
        <v>Residential_Building Shell_Wall Insulation (Electric Heat)_R_wall</v>
      </c>
      <c r="B672" t="s">
        <v>1165</v>
      </c>
      <c r="C672" t="s">
        <v>1169</v>
      </c>
      <c r="D672" t="s">
        <v>1422</v>
      </c>
      <c r="E672" s="562" t="s">
        <v>1415</v>
      </c>
      <c r="F672" s="572">
        <f>[18]Dashboard_FS!$P$19</f>
        <v>0</v>
      </c>
      <c r="H672" s="559" t="s">
        <v>1413</v>
      </c>
      <c r="I672" s="559" t="s">
        <v>1414</v>
      </c>
      <c r="J672" s="559" t="b">
        <f t="shared" si="16"/>
        <v>1</v>
      </c>
    </row>
    <row r="673" spans="1:10" hidden="1">
      <c r="A673" s="559" t="str">
        <f t="shared" si="15"/>
        <v>Residential_Building Shell_Wall Insulation (Electric Heat)_A_wall</v>
      </c>
      <c r="B673" t="s">
        <v>1165</v>
      </c>
      <c r="C673" t="s">
        <v>1169</v>
      </c>
      <c r="D673" t="s">
        <v>1422</v>
      </c>
      <c r="E673" s="560" t="s">
        <v>1416</v>
      </c>
      <c r="F673" s="571">
        <f>[18]Dashboard_FS!$O$8</f>
        <v>0</v>
      </c>
      <c r="G673" s="559" t="s">
        <v>1361</v>
      </c>
      <c r="H673" s="559" t="s">
        <v>1413</v>
      </c>
      <c r="I673" s="559" t="s">
        <v>1414</v>
      </c>
      <c r="J673" s="559" t="b">
        <f t="shared" si="16"/>
        <v>1</v>
      </c>
    </row>
    <row r="674" spans="1:10" hidden="1">
      <c r="A674" s="559" t="str">
        <f t="shared" si="15"/>
        <v>Residential_Building Shell_Wall Insulation (Electric Heat)_Framing_factor_wall</v>
      </c>
      <c r="B674" t="s">
        <v>1165</v>
      </c>
      <c r="C674" t="s">
        <v>1169</v>
      </c>
      <c r="D674" t="s">
        <v>1422</v>
      </c>
      <c r="E674" s="562" t="s">
        <v>1417</v>
      </c>
      <c r="F674" s="572">
        <v>0.25</v>
      </c>
      <c r="H674" s="559" t="s">
        <v>1413</v>
      </c>
      <c r="I674" s="559" t="s">
        <v>1414</v>
      </c>
      <c r="J674" s="559" t="b">
        <f t="shared" si="16"/>
        <v>0</v>
      </c>
    </row>
    <row r="675" spans="1:10" hidden="1">
      <c r="A675" s="559" t="str">
        <f t="shared" si="15"/>
        <v>Residential_Building Shell_Wall Insulation (Electric Heat)_24</v>
      </c>
      <c r="B675" t="s">
        <v>1165</v>
      </c>
      <c r="C675" t="s">
        <v>1169</v>
      </c>
      <c r="D675" t="s">
        <v>1422</v>
      </c>
      <c r="E675" s="562">
        <v>24</v>
      </c>
      <c r="F675" s="572">
        <v>24</v>
      </c>
      <c r="H675" s="559" t="s">
        <v>1413</v>
      </c>
      <c r="I675" s="559" t="s">
        <v>1414</v>
      </c>
      <c r="J675" s="559" t="b">
        <f t="shared" si="16"/>
        <v>0</v>
      </c>
    </row>
    <row r="676" spans="1:10" hidden="1">
      <c r="A676" s="559" t="str">
        <f t="shared" si="15"/>
        <v>Residential_Building Shell_Wall Insulation (Electric Heat)_HDD</v>
      </c>
      <c r="B676" t="s">
        <v>1165</v>
      </c>
      <c r="C676" t="s">
        <v>1169</v>
      </c>
      <c r="D676" t="s">
        <v>1422</v>
      </c>
      <c r="E676" s="562" t="s">
        <v>1380</v>
      </c>
      <c r="F676" s="582" t="e">
        <f>INDEX('[18]CZ Inputs'!G:G,MATCH(A676&amp;"_"&amp;[18]Dashboard_EE!$K$3,'[18]CZ Inputs'!A:A,0))</f>
        <v>#N/A</v>
      </c>
      <c r="G676" s="559" t="s">
        <v>1369</v>
      </c>
      <c r="H676" s="559" t="s">
        <v>1413</v>
      </c>
      <c r="I676" s="559" t="s">
        <v>1414</v>
      </c>
      <c r="J676" s="559" t="b">
        <f t="shared" si="16"/>
        <v>1</v>
      </c>
    </row>
    <row r="677" spans="1:10" hidden="1">
      <c r="A677" s="559" t="str">
        <f t="shared" si="15"/>
        <v>Residential_Building Shell_Wall Insulation (Electric Heat)_ηHeat</v>
      </c>
      <c r="B677" t="s">
        <v>1165</v>
      </c>
      <c r="C677" t="s">
        <v>1169</v>
      </c>
      <c r="D677" t="s">
        <v>1422</v>
      </c>
      <c r="E677" s="560" t="s">
        <v>1381</v>
      </c>
      <c r="F677" s="571" t="e">
        <f>[18]Dashboard_FS!$K$6</f>
        <v>#REF!</v>
      </c>
      <c r="G677" s="559" t="s">
        <v>1187</v>
      </c>
      <c r="H677" s="559" t="s">
        <v>1413</v>
      </c>
      <c r="I677" s="559" t="s">
        <v>1414</v>
      </c>
      <c r="J677" s="559" t="b">
        <f t="shared" si="16"/>
        <v>1</v>
      </c>
    </row>
    <row r="678" spans="1:10" hidden="1">
      <c r="A678" s="559" t="str">
        <f t="shared" si="15"/>
        <v>Residential_Building Shell_Wall Insulation (Electric Heat)_ηHeat_Mid-Life_Adj</v>
      </c>
      <c r="B678" t="s">
        <v>1165</v>
      </c>
      <c r="C678" t="s">
        <v>1169</v>
      </c>
      <c r="D678" t="s">
        <v>1422</v>
      </c>
      <c r="E678" s="560" t="s">
        <v>1382</v>
      </c>
      <c r="F678" s="571" t="e">
        <f>[18]Dashboard_FS!$K$6</f>
        <v>#REF!</v>
      </c>
      <c r="G678" s="559" t="s">
        <v>1187</v>
      </c>
      <c r="H678" s="559" t="s">
        <v>1413</v>
      </c>
      <c r="I678" s="559" t="s">
        <v>1414</v>
      </c>
      <c r="J678" s="559" t="b">
        <f t="shared" si="16"/>
        <v>1</v>
      </c>
    </row>
    <row r="679" spans="1:10" hidden="1">
      <c r="A679" s="559" t="str">
        <f t="shared" si="15"/>
        <v>Residential_Building Shell_Wall Insulation (Electric Heat)_3412</v>
      </c>
      <c r="B679" t="s">
        <v>1165</v>
      </c>
      <c r="C679" t="s">
        <v>1169</v>
      </c>
      <c r="D679" t="s">
        <v>1422</v>
      </c>
      <c r="E679" s="562">
        <v>3412</v>
      </c>
      <c r="F679" s="572">
        <v>3412</v>
      </c>
      <c r="H679" s="559" t="s">
        <v>1413</v>
      </c>
      <c r="I679" s="559" t="s">
        <v>1414</v>
      </c>
      <c r="J679" s="559" t="b">
        <f t="shared" si="16"/>
        <v>0</v>
      </c>
    </row>
    <row r="680" spans="1:10" hidden="1">
      <c r="A680" s="559" t="str">
        <f t="shared" si="15"/>
        <v>Residential_Building Shell_Wall Insulation (Electric Heat)_ADJWallHeat</v>
      </c>
      <c r="B680" t="s">
        <v>1165</v>
      </c>
      <c r="C680" t="s">
        <v>1169</v>
      </c>
      <c r="D680" t="s">
        <v>1422</v>
      </c>
      <c r="E680" s="562" t="s">
        <v>1419</v>
      </c>
      <c r="F680" s="582">
        <v>0.63</v>
      </c>
      <c r="H680" s="559" t="s">
        <v>1413</v>
      </c>
      <c r="I680" s="559" t="s">
        <v>1414</v>
      </c>
      <c r="J680" s="559" t="b">
        <f t="shared" si="16"/>
        <v>0</v>
      </c>
    </row>
    <row r="681" spans="1:10" hidden="1">
      <c r="A681" s="559" t="str">
        <f t="shared" si="15"/>
        <v>Residential_Building Shell_Wall Insulation (Electric Heat)_%ElectricHeat</v>
      </c>
      <c r="B681" t="s">
        <v>1165</v>
      </c>
      <c r="C681" t="s">
        <v>1169</v>
      </c>
      <c r="D681" t="s">
        <v>1422</v>
      </c>
      <c r="E681" s="562" t="s">
        <v>1349</v>
      </c>
      <c r="F681" s="572">
        <v>1</v>
      </c>
      <c r="G681" s="559" t="s">
        <v>1383</v>
      </c>
      <c r="H681" s="559" t="s">
        <v>1413</v>
      </c>
      <c r="I681" s="559" t="s">
        <v>1414</v>
      </c>
      <c r="J681" s="559" t="b">
        <f t="shared" si="16"/>
        <v>0</v>
      </c>
    </row>
    <row r="682" spans="1:10" hidden="1">
      <c r="A682" s="559" t="str">
        <f t="shared" si="15"/>
        <v>Residential_Building Shell_Wall Insulation (Electric Heat)_Delta_kWh_heatingElectric</v>
      </c>
      <c r="B682" t="s">
        <v>1165</v>
      </c>
      <c r="C682" t="s">
        <v>1169</v>
      </c>
      <c r="D682" t="s">
        <v>1422</v>
      </c>
      <c r="E682" s="560" t="s">
        <v>1384</v>
      </c>
      <c r="F682" s="571" t="e">
        <f xml:space="preserve"> (((1/ F671 - 1/ F672) * F673 * (1 - F674) * F675 * F676) / (F677 * F679)) * F680 * F681</f>
        <v>#DIV/0!</v>
      </c>
      <c r="H682" s="559" t="s">
        <v>1413</v>
      </c>
      <c r="I682" s="559" t="s">
        <v>1414</v>
      </c>
      <c r="J682" s="559" t="b">
        <f t="shared" si="16"/>
        <v>1</v>
      </c>
    </row>
    <row r="683" spans="1:10" hidden="1">
      <c r="A683" s="559" t="str">
        <f t="shared" si="15"/>
        <v>Residential_Building Shell_Wall Insulation (Electric Heat)_Delta_kWh_heatingElectric_Mid-Life_Adj</v>
      </c>
      <c r="B683" t="s">
        <v>1165</v>
      </c>
      <c r="C683" t="s">
        <v>1169</v>
      </c>
      <c r="D683" t="s">
        <v>1422</v>
      </c>
      <c r="E683" s="560" t="s">
        <v>1385</v>
      </c>
      <c r="F683" s="571" t="e">
        <f xml:space="preserve"> (((1/ F671 - 1/ F672) * F673 * (1 - F674) * F675 * F676) / (F678 * F679)) * F680 * F681</f>
        <v>#DIV/0!</v>
      </c>
      <c r="H683" s="559" t="s">
        <v>1413</v>
      </c>
      <c r="I683" s="559" t="s">
        <v>1414</v>
      </c>
      <c r="J683" s="559" t="b">
        <f t="shared" si="16"/>
        <v>1</v>
      </c>
    </row>
    <row r="684" spans="1:10" hidden="1">
      <c r="A684" s="559" t="str">
        <f t="shared" si="15"/>
        <v>Residential_Building Shell_Wall Insulation (Electric Heat)_Delta_Therms</v>
      </c>
      <c r="B684" t="s">
        <v>1165</v>
      </c>
      <c r="C684" t="s">
        <v>1169</v>
      </c>
      <c r="D684" t="s">
        <v>1422</v>
      </c>
      <c r="E684" s="560" t="s">
        <v>1301</v>
      </c>
      <c r="F684" s="571" t="e">
        <f>F705</f>
        <v>#DIV/0!</v>
      </c>
      <c r="H684" s="559" t="s">
        <v>1413</v>
      </c>
      <c r="I684" s="559" t="s">
        <v>1414</v>
      </c>
      <c r="J684" s="559" t="b">
        <f t="shared" si="16"/>
        <v>1</v>
      </c>
    </row>
    <row r="685" spans="1:10" hidden="1">
      <c r="A685" s="559" t="str">
        <f t="shared" si="15"/>
        <v>Residential_Building Shell_Wall Insulation (Electric Heat)_Delta_Therms_Mid-Life_Adj</v>
      </c>
      <c r="B685" t="s">
        <v>1165</v>
      </c>
      <c r="C685" t="s">
        <v>1169</v>
      </c>
      <c r="D685" t="s">
        <v>1422</v>
      </c>
      <c r="E685" s="560" t="s">
        <v>1420</v>
      </c>
      <c r="F685" s="571" t="e">
        <f>F706</f>
        <v>#DIV/0!</v>
      </c>
      <c r="H685" s="559" t="s">
        <v>1413</v>
      </c>
      <c r="I685" s="559" t="s">
        <v>1414</v>
      </c>
      <c r="J685" s="559" t="b">
        <f t="shared" si="16"/>
        <v>1</v>
      </c>
    </row>
    <row r="686" spans="1:10" hidden="1">
      <c r="A686" s="559" t="str">
        <f t="shared" si="15"/>
        <v>Residential_Building Shell_Wall Insulation (Electric Heat)_Fe</v>
      </c>
      <c r="B686" t="s">
        <v>1165</v>
      </c>
      <c r="C686" t="s">
        <v>1169</v>
      </c>
      <c r="D686" t="s">
        <v>1422</v>
      </c>
      <c r="E686" s="562" t="s">
        <v>1198</v>
      </c>
      <c r="F686" s="572">
        <v>3.1399999999999997E-2</v>
      </c>
      <c r="H686" s="559" t="s">
        <v>1413</v>
      </c>
      <c r="I686" s="559" t="s">
        <v>1414</v>
      </c>
      <c r="J686" s="559" t="b">
        <f t="shared" si="16"/>
        <v>0</v>
      </c>
    </row>
    <row r="687" spans="1:10" hidden="1">
      <c r="A687" s="559" t="str">
        <f t="shared" si="15"/>
        <v>Residential_Building Shell_Wall Insulation (Electric Heat)_29.3</v>
      </c>
      <c r="B687" t="s">
        <v>1165</v>
      </c>
      <c r="C687" t="s">
        <v>1169</v>
      </c>
      <c r="D687" t="s">
        <v>1422</v>
      </c>
      <c r="E687" s="562">
        <v>29.3</v>
      </c>
      <c r="F687" s="572">
        <v>29.3</v>
      </c>
      <c r="H687" s="559" t="s">
        <v>1413</v>
      </c>
      <c r="I687" s="559" t="s">
        <v>1414</v>
      </c>
      <c r="J687" s="559" t="b">
        <f t="shared" si="16"/>
        <v>0</v>
      </c>
    </row>
    <row r="688" spans="1:10" hidden="1">
      <c r="A688" s="559" t="str">
        <f t="shared" si="15"/>
        <v>Residential_Building Shell_Wall Insulation (Electric Heat)_Delta_kWh_heatingGas</v>
      </c>
      <c r="B688" t="s">
        <v>1165</v>
      </c>
      <c r="C688" t="s">
        <v>1169</v>
      </c>
      <c r="D688" t="s">
        <v>1422</v>
      </c>
      <c r="E688" s="560" t="s">
        <v>1387</v>
      </c>
      <c r="F688" s="571" t="e">
        <f>F684*F686*F687</f>
        <v>#DIV/0!</v>
      </c>
      <c r="H688" s="559" t="s">
        <v>1413</v>
      </c>
      <c r="I688" s="559" t="s">
        <v>1414</v>
      </c>
      <c r="J688" s="559" t="b">
        <f t="shared" si="16"/>
        <v>1</v>
      </c>
    </row>
    <row r="689" spans="1:10" hidden="1">
      <c r="A689" s="559" t="str">
        <f t="shared" si="15"/>
        <v>Residential_Building Shell_Wall Insulation (Electric Heat)_Delta_kWh_heatingGas_Mid-Life_Adj</v>
      </c>
      <c r="B689" t="s">
        <v>1165</v>
      </c>
      <c r="C689" t="s">
        <v>1169</v>
      </c>
      <c r="D689" t="s">
        <v>1422</v>
      </c>
      <c r="E689" s="560" t="s">
        <v>1388</v>
      </c>
      <c r="F689" s="571" t="e">
        <f>F685*F686*F687</f>
        <v>#DIV/0!</v>
      </c>
      <c r="H689" s="559" t="s">
        <v>1413</v>
      </c>
      <c r="I689" s="559" t="s">
        <v>1414</v>
      </c>
      <c r="J689" s="559" t="b">
        <f t="shared" si="16"/>
        <v>1</v>
      </c>
    </row>
    <row r="690" spans="1:10" hidden="1">
      <c r="A690" s="559" t="str">
        <f t="shared" si="15"/>
        <v>Residential_Building Shell_Wall Insulation (Electric Heat)_FLH_cooling</v>
      </c>
      <c r="B690" t="s">
        <v>1165</v>
      </c>
      <c r="C690" t="s">
        <v>1169</v>
      </c>
      <c r="D690" t="s">
        <v>1422</v>
      </c>
      <c r="E690" s="562" t="s">
        <v>1389</v>
      </c>
      <c r="F690" s="582" t="e">
        <f>INDEX('[18]CZ Inputs'!G:G,MATCH(A690&amp;"_"&amp;[18]Dashboard_EE!$K$3,'[18]CZ Inputs'!A:A,0))</f>
        <v>#N/A</v>
      </c>
      <c r="G690" s="559" t="s">
        <v>1369</v>
      </c>
      <c r="H690" s="559" t="s">
        <v>1413</v>
      </c>
      <c r="I690" s="559" t="s">
        <v>1414</v>
      </c>
      <c r="J690" s="559" t="b">
        <f t="shared" si="16"/>
        <v>1</v>
      </c>
    </row>
    <row r="691" spans="1:10" hidden="1">
      <c r="A691" s="559" t="str">
        <f t="shared" si="15"/>
        <v>Residential_Building Shell_Wall Insulation (Electric Heat)_CF</v>
      </c>
      <c r="B691" t="s">
        <v>1165</v>
      </c>
      <c r="C691" t="s">
        <v>1169</v>
      </c>
      <c r="D691" t="s">
        <v>1422</v>
      </c>
      <c r="E691" s="562" t="s">
        <v>1224</v>
      </c>
      <c r="F691" s="572">
        <v>0.68</v>
      </c>
      <c r="G691" s="559" t="s">
        <v>1266</v>
      </c>
      <c r="H691" s="559" t="s">
        <v>1413</v>
      </c>
      <c r="I691" s="559" t="s">
        <v>1414</v>
      </c>
      <c r="J691" s="559" t="b">
        <f t="shared" si="16"/>
        <v>0</v>
      </c>
    </row>
    <row r="692" spans="1:10" hidden="1">
      <c r="A692" s="559" t="str">
        <f t="shared" si="15"/>
        <v>Residential_Building Shell_Wall Insulation (Electric Heat)_Delta_kW</v>
      </c>
      <c r="B692" t="s">
        <v>1165</v>
      </c>
      <c r="C692" t="s">
        <v>1169</v>
      </c>
      <c r="D692" t="s">
        <v>1422</v>
      </c>
      <c r="E692" s="560" t="s">
        <v>1226</v>
      </c>
      <c r="F692" s="571" t="e">
        <f>(F669/F690)*F691</f>
        <v>#DIV/0!</v>
      </c>
      <c r="H692" s="559" t="s">
        <v>1413</v>
      </c>
      <c r="I692" s="559" t="s">
        <v>1414</v>
      </c>
      <c r="J692" s="559" t="b">
        <f t="shared" si="16"/>
        <v>1</v>
      </c>
    </row>
    <row r="693" spans="1:10" hidden="1">
      <c r="A693" s="559" t="str">
        <f t="shared" si="15"/>
        <v>Residential_Building Shell_Wall Insulation (Electric Heat)_Delta_kW_Mid-Life_Adj</v>
      </c>
      <c r="B693" t="s">
        <v>1165</v>
      </c>
      <c r="C693" t="s">
        <v>1169</v>
      </c>
      <c r="D693" t="s">
        <v>1422</v>
      </c>
      <c r="E693" s="560" t="s">
        <v>1390</v>
      </c>
      <c r="F693" s="571" t="e">
        <f>(F670/F690)*F691</f>
        <v>#DIV/0!</v>
      </c>
      <c r="H693" s="559" t="s">
        <v>1413</v>
      </c>
      <c r="I693" s="559" t="s">
        <v>1414</v>
      </c>
      <c r="J693" s="559" t="b">
        <f t="shared" si="16"/>
        <v>1</v>
      </c>
    </row>
    <row r="694" spans="1:10" hidden="1">
      <c r="A694" s="559" t="str">
        <f t="shared" si="15"/>
        <v>Residential_Building Shell_Wall Insulation (Electric Heat)_R_old</v>
      </c>
      <c r="B694" t="s">
        <v>1165</v>
      </c>
      <c r="C694" t="s">
        <v>1169</v>
      </c>
      <c r="D694" t="s">
        <v>1422</v>
      </c>
      <c r="E694" s="562" t="s">
        <v>1400</v>
      </c>
      <c r="F694" s="572">
        <f>[18]Dashboard_FS!$O$19</f>
        <v>1</v>
      </c>
      <c r="G694" s="559" t="s">
        <v>1423</v>
      </c>
      <c r="H694" s="559" t="s">
        <v>1413</v>
      </c>
      <c r="I694" s="559" t="s">
        <v>1414</v>
      </c>
      <c r="J694" s="559" t="b">
        <f t="shared" si="16"/>
        <v>1</v>
      </c>
    </row>
    <row r="695" spans="1:10" hidden="1">
      <c r="A695" s="559" t="str">
        <f t="shared" si="15"/>
        <v>Residential_Building Shell_Wall Insulation (Electric Heat)_R_wall</v>
      </c>
      <c r="B695" t="s">
        <v>1165</v>
      </c>
      <c r="C695" t="s">
        <v>1169</v>
      </c>
      <c r="D695" t="s">
        <v>1422</v>
      </c>
      <c r="E695" s="562" t="s">
        <v>1415</v>
      </c>
      <c r="F695" s="572">
        <f>[18]Dashboard_FS!$P$19</f>
        <v>0</v>
      </c>
      <c r="H695" s="559" t="s">
        <v>1413</v>
      </c>
      <c r="I695" s="559" t="s">
        <v>1414</v>
      </c>
      <c r="J695" s="559" t="b">
        <f t="shared" si="16"/>
        <v>1</v>
      </c>
    </row>
    <row r="696" spans="1:10" hidden="1">
      <c r="A696" s="559" t="str">
        <f t="shared" ref="A696:A759" si="17">B696&amp;"_"&amp;C696&amp;"_"&amp;D696&amp;"_"&amp;E696</f>
        <v>Residential_Building Shell_Wall Insulation (Electric Heat)_A_wall</v>
      </c>
      <c r="B696" t="s">
        <v>1165</v>
      </c>
      <c r="C696" t="s">
        <v>1169</v>
      </c>
      <c r="D696" t="s">
        <v>1422</v>
      </c>
      <c r="E696" s="560" t="s">
        <v>1416</v>
      </c>
      <c r="F696" s="571">
        <f>[18]Dashboard_FS!$O$8</f>
        <v>0</v>
      </c>
      <c r="G696" s="559" t="s">
        <v>1361</v>
      </c>
      <c r="H696" s="559" t="s">
        <v>1413</v>
      </c>
      <c r="I696" s="559" t="s">
        <v>1414</v>
      </c>
      <c r="J696" s="559" t="b">
        <f t="shared" si="16"/>
        <v>1</v>
      </c>
    </row>
    <row r="697" spans="1:10" hidden="1">
      <c r="A697" s="559" t="str">
        <f t="shared" si="17"/>
        <v>Residential_Building Shell_Wall Insulation (Electric Heat)_Framing_factor_wall</v>
      </c>
      <c r="B697" t="s">
        <v>1165</v>
      </c>
      <c r="C697" t="s">
        <v>1169</v>
      </c>
      <c r="D697" t="s">
        <v>1422</v>
      </c>
      <c r="E697" s="562" t="s">
        <v>1417</v>
      </c>
      <c r="F697" s="572">
        <v>0.25</v>
      </c>
      <c r="H697" s="559" t="s">
        <v>1413</v>
      </c>
      <c r="I697" s="559" t="s">
        <v>1414</v>
      </c>
      <c r="J697" s="559" t="b">
        <f t="shared" si="16"/>
        <v>0</v>
      </c>
    </row>
    <row r="698" spans="1:10" hidden="1">
      <c r="A698" s="559" t="str">
        <f t="shared" si="17"/>
        <v>Residential_Building Shell_Wall Insulation (Electric Heat)_24</v>
      </c>
      <c r="B698" t="s">
        <v>1165</v>
      </c>
      <c r="C698" t="s">
        <v>1169</v>
      </c>
      <c r="D698" t="s">
        <v>1422</v>
      </c>
      <c r="E698" s="562">
        <v>24</v>
      </c>
      <c r="F698" s="572">
        <v>24</v>
      </c>
      <c r="H698" s="559" t="s">
        <v>1413</v>
      </c>
      <c r="I698" s="559" t="s">
        <v>1414</v>
      </c>
      <c r="J698" s="559" t="b">
        <f t="shared" si="16"/>
        <v>0</v>
      </c>
    </row>
    <row r="699" spans="1:10" hidden="1">
      <c r="A699" s="559" t="str">
        <f t="shared" si="17"/>
        <v>Residential_Building Shell_Wall Insulation (Electric Heat)_HDD</v>
      </c>
      <c r="B699" t="s">
        <v>1165</v>
      </c>
      <c r="C699" t="s">
        <v>1169</v>
      </c>
      <c r="D699" t="s">
        <v>1422</v>
      </c>
      <c r="E699" s="562" t="s">
        <v>1380</v>
      </c>
      <c r="F699" s="582" t="e">
        <f>INDEX('[18]CZ Inputs'!G:G,MATCH(A699&amp;"_"&amp;[18]Dashboard_EE!$K$3,'[18]CZ Inputs'!A:A,0))</f>
        <v>#N/A</v>
      </c>
      <c r="G699" s="559" t="s">
        <v>1369</v>
      </c>
      <c r="H699" s="559" t="s">
        <v>1413</v>
      </c>
      <c r="I699" s="559" t="s">
        <v>1414</v>
      </c>
      <c r="J699" s="559" t="b">
        <f t="shared" si="16"/>
        <v>1</v>
      </c>
    </row>
    <row r="700" spans="1:10" hidden="1">
      <c r="A700" s="559" t="str">
        <f t="shared" si="17"/>
        <v>Residential_Building Shell_Wall Insulation (Electric Heat)_ηHeat</v>
      </c>
      <c r="B700" t="s">
        <v>1165</v>
      </c>
      <c r="C700" t="s">
        <v>1169</v>
      </c>
      <c r="D700" t="s">
        <v>1422</v>
      </c>
      <c r="E700" s="560" t="s">
        <v>1381</v>
      </c>
      <c r="F700" s="571" t="e">
        <f>[18]Dashboard_FS!$K$8</f>
        <v>#REF!</v>
      </c>
      <c r="G700" s="559" t="s">
        <v>1187</v>
      </c>
      <c r="H700" s="559" t="s">
        <v>1413</v>
      </c>
      <c r="I700" s="559" t="s">
        <v>1414</v>
      </c>
      <c r="J700" s="559" t="b">
        <f t="shared" si="16"/>
        <v>1</v>
      </c>
    </row>
    <row r="701" spans="1:10" hidden="1">
      <c r="A701" s="559" t="str">
        <f t="shared" si="17"/>
        <v>Residential_Building Shell_Wall Insulation (Electric Heat)_ηHeat_Mid-Life_Adj</v>
      </c>
      <c r="B701" t="s">
        <v>1165</v>
      </c>
      <c r="C701" t="s">
        <v>1169</v>
      </c>
      <c r="D701" t="s">
        <v>1422</v>
      </c>
      <c r="E701" s="560" t="s">
        <v>1382</v>
      </c>
      <c r="F701" s="571" t="e">
        <f>[18]Dashboard_FS!$K$8</f>
        <v>#REF!</v>
      </c>
      <c r="G701" s="559" t="s">
        <v>1187</v>
      </c>
      <c r="H701" s="559" t="s">
        <v>1413</v>
      </c>
      <c r="I701" s="559" t="s">
        <v>1414</v>
      </c>
      <c r="J701" s="559" t="b">
        <f t="shared" si="16"/>
        <v>1</v>
      </c>
    </row>
    <row r="702" spans="1:10" hidden="1">
      <c r="A702" s="559" t="str">
        <f t="shared" si="17"/>
        <v>Residential_Building Shell_Wall Insulation (Electric Heat)_100000</v>
      </c>
      <c r="B702" t="s">
        <v>1165</v>
      </c>
      <c r="C702" t="s">
        <v>1169</v>
      </c>
      <c r="D702" t="s">
        <v>1422</v>
      </c>
      <c r="E702" s="562">
        <v>100000</v>
      </c>
      <c r="F702" s="572">
        <v>100000</v>
      </c>
      <c r="H702" s="559" t="s">
        <v>1413</v>
      </c>
      <c r="I702" s="559" t="s">
        <v>1414</v>
      </c>
      <c r="J702" s="559" t="b">
        <f t="shared" si="16"/>
        <v>0</v>
      </c>
    </row>
    <row r="703" spans="1:10" hidden="1">
      <c r="A703" s="559" t="str">
        <f t="shared" si="17"/>
        <v>Residential_Building Shell_Wall Insulation (Electric Heat)_ADJWallHeat</v>
      </c>
      <c r="B703" t="s">
        <v>1165</v>
      </c>
      <c r="C703" t="s">
        <v>1169</v>
      </c>
      <c r="D703" t="s">
        <v>1422</v>
      </c>
      <c r="E703" s="562" t="s">
        <v>1419</v>
      </c>
      <c r="F703" s="572">
        <v>0.6</v>
      </c>
      <c r="H703" s="559" t="s">
        <v>1413</v>
      </c>
      <c r="I703" s="559" t="s">
        <v>1414</v>
      </c>
      <c r="J703" s="559" t="b">
        <f t="shared" si="16"/>
        <v>0</v>
      </c>
    </row>
    <row r="704" spans="1:10" hidden="1">
      <c r="A704" s="559" t="str">
        <f t="shared" si="17"/>
        <v>Residential_Building Shell_Wall Insulation (Electric Heat)_%GasHeat</v>
      </c>
      <c r="B704" t="s">
        <v>1165</v>
      </c>
      <c r="C704" t="s">
        <v>1169</v>
      </c>
      <c r="D704" t="s">
        <v>1422</v>
      </c>
      <c r="E704" s="562" t="s">
        <v>1410</v>
      </c>
      <c r="F704" s="572">
        <v>0</v>
      </c>
      <c r="G704" s="559" t="s">
        <v>1383</v>
      </c>
      <c r="H704" s="559" t="s">
        <v>1413</v>
      </c>
      <c r="I704" s="559" t="s">
        <v>1414</v>
      </c>
      <c r="J704" s="559" t="b">
        <f t="shared" si="16"/>
        <v>0</v>
      </c>
    </row>
    <row r="705" spans="1:10" hidden="1">
      <c r="A705" s="559" t="str">
        <f t="shared" si="17"/>
        <v>Residential_Building Shell_Wall Insulation (Electric Heat)_Delta_Therms</v>
      </c>
      <c r="B705" t="s">
        <v>1165</v>
      </c>
      <c r="C705" t="s">
        <v>1169</v>
      </c>
      <c r="D705" t="s">
        <v>1422</v>
      </c>
      <c r="E705" s="560" t="s">
        <v>1301</v>
      </c>
      <c r="F705" s="571" t="e">
        <f xml:space="preserve"> (((1/ F694 - 1/ F695) * F696 * (1 - F697) * F698 * F699) / (F700 * F702)) * F703 * F704</f>
        <v>#DIV/0!</v>
      </c>
      <c r="H705" s="559" t="s">
        <v>1413</v>
      </c>
      <c r="I705" s="559" t="s">
        <v>1414</v>
      </c>
      <c r="J705" s="559" t="b">
        <f t="shared" si="16"/>
        <v>1</v>
      </c>
    </row>
    <row r="706" spans="1:10" hidden="1">
      <c r="A706" s="559" t="str">
        <f t="shared" si="17"/>
        <v>Residential_Building Shell_Wall Insulation (Electric Heat)_Delta_Therms_Mid-Life_Adj</v>
      </c>
      <c r="B706" t="s">
        <v>1165</v>
      </c>
      <c r="C706" t="s">
        <v>1169</v>
      </c>
      <c r="D706" t="s">
        <v>1422</v>
      </c>
      <c r="E706" s="560" t="s">
        <v>1420</v>
      </c>
      <c r="F706" s="571" t="e">
        <f xml:space="preserve"> (((1/ F694 - 1/ F695) * F696 * (1 - F697) * F698 * F699) / (F701 * F702)) * F703 * F704</f>
        <v>#DIV/0!</v>
      </c>
      <c r="H706" s="559" t="s">
        <v>1413</v>
      </c>
      <c r="I706" s="559" t="s">
        <v>1414</v>
      </c>
      <c r="J706" s="559" t="b">
        <f t="shared" si="16"/>
        <v>1</v>
      </c>
    </row>
    <row r="707" spans="1:10" hidden="1">
      <c r="A707" s="559" t="str">
        <f t="shared" si="17"/>
        <v>Residential_Building Shell_Wall Insulation (Electric Heat)_Remaining Year kWh</v>
      </c>
      <c r="B707" t="s">
        <v>1165</v>
      </c>
      <c r="C707" t="s">
        <v>1169</v>
      </c>
      <c r="D707" t="s">
        <v>1422</v>
      </c>
      <c r="E707" s="568" t="s">
        <v>1394</v>
      </c>
      <c r="F707" s="574" t="e">
        <f>F669+F682+F688</f>
        <v>#DIV/0!</v>
      </c>
      <c r="H707" s="559" t="s">
        <v>1413</v>
      </c>
      <c r="I707" s="559" t="s">
        <v>1414</v>
      </c>
      <c r="J707" s="559" t="b">
        <f t="shared" si="16"/>
        <v>1</v>
      </c>
    </row>
    <row r="708" spans="1:10" hidden="1">
      <c r="A708" s="559" t="str">
        <f t="shared" si="17"/>
        <v>Residential_Building Shell_Wall Insulation (Electric Heat)_kWh Saved per Unit</v>
      </c>
      <c r="B708" t="s">
        <v>1165</v>
      </c>
      <c r="C708" t="s">
        <v>1169</v>
      </c>
      <c r="D708" t="s">
        <v>1422</v>
      </c>
      <c r="E708" s="568" t="s">
        <v>1227</v>
      </c>
      <c r="F708" s="574" t="e">
        <f>F670+F683+F689</f>
        <v>#DIV/0!</v>
      </c>
      <c r="H708" s="559" t="s">
        <v>1413</v>
      </c>
      <c r="I708" s="559" t="s">
        <v>1414</v>
      </c>
      <c r="J708" s="559" t="b">
        <f t="shared" si="16"/>
        <v>1</v>
      </c>
    </row>
    <row r="709" spans="1:10" hidden="1">
      <c r="A709" s="559" t="str">
        <f t="shared" si="17"/>
        <v>Residential_Building Shell_Wall Insulation (Electric Heat)_Remaining Year kW</v>
      </c>
      <c r="B709" t="s">
        <v>1165</v>
      </c>
      <c r="C709" t="s">
        <v>1169</v>
      </c>
      <c r="D709" t="s">
        <v>1422</v>
      </c>
      <c r="E709" s="568" t="s">
        <v>1395</v>
      </c>
      <c r="F709" s="574" t="e">
        <f>F692</f>
        <v>#DIV/0!</v>
      </c>
      <c r="H709" s="559" t="s">
        <v>1413</v>
      </c>
      <c r="I709" s="559" t="s">
        <v>1414</v>
      </c>
      <c r="J709" s="559" t="b">
        <f t="shared" si="16"/>
        <v>1</v>
      </c>
    </row>
    <row r="710" spans="1:10" hidden="1">
      <c r="A710" s="559" t="str">
        <f t="shared" si="17"/>
        <v>Residential_Building Shell_Wall Insulation (Electric Heat)_Coincident Peak kW Saved per Unit</v>
      </c>
      <c r="B710" t="s">
        <v>1165</v>
      </c>
      <c r="C710" t="s">
        <v>1169</v>
      </c>
      <c r="D710" t="s">
        <v>1422</v>
      </c>
      <c r="E710" s="568" t="s">
        <v>1228</v>
      </c>
      <c r="F710" s="574" t="e">
        <f>F693</f>
        <v>#DIV/0!</v>
      </c>
      <c r="H710" s="559" t="s">
        <v>1413</v>
      </c>
      <c r="I710" s="559" t="s">
        <v>1414</v>
      </c>
      <c r="J710" s="559" t="b">
        <f t="shared" si="16"/>
        <v>1</v>
      </c>
    </row>
    <row r="711" spans="1:10" hidden="1">
      <c r="A711" s="559" t="str">
        <f t="shared" si="17"/>
        <v>Residential_Building Shell_Wall Insulation (Electric Heat)_Remaining Year Therms</v>
      </c>
      <c r="B711" t="s">
        <v>1165</v>
      </c>
      <c r="C711" t="s">
        <v>1169</v>
      </c>
      <c r="D711" t="s">
        <v>1422</v>
      </c>
      <c r="E711" s="568" t="s">
        <v>1396</v>
      </c>
      <c r="F711" s="574" t="e">
        <f>F705</f>
        <v>#DIV/0!</v>
      </c>
      <c r="H711" s="559" t="s">
        <v>1413</v>
      </c>
      <c r="I711" s="559" t="s">
        <v>1414</v>
      </c>
      <c r="J711" s="559" t="b">
        <f t="shared" si="16"/>
        <v>1</v>
      </c>
    </row>
    <row r="712" spans="1:10" hidden="1">
      <c r="A712" s="559" t="str">
        <f t="shared" si="17"/>
        <v>Residential_Building Shell_Wall Insulation (Electric Heat)_Therms Saved per Unit</v>
      </c>
      <c r="B712" t="s">
        <v>1165</v>
      </c>
      <c r="C712" t="s">
        <v>1169</v>
      </c>
      <c r="D712" t="s">
        <v>1422</v>
      </c>
      <c r="E712" s="568" t="s">
        <v>1323</v>
      </c>
      <c r="F712" s="574" t="e">
        <f>F706</f>
        <v>#DIV/0!</v>
      </c>
      <c r="H712" s="559" t="s">
        <v>1413</v>
      </c>
      <c r="I712" s="559" t="s">
        <v>1414</v>
      </c>
      <c r="J712" s="559" t="b">
        <f t="shared" si="16"/>
        <v>1</v>
      </c>
    </row>
    <row r="713" spans="1:10" hidden="1">
      <c r="A713" s="559" t="str">
        <f t="shared" si="17"/>
        <v>Residential_Building Shell_Wall Insulation (Electric Heat)_Remaining Life</v>
      </c>
      <c r="B713" t="s">
        <v>1165</v>
      </c>
      <c r="C713" t="s">
        <v>1169</v>
      </c>
      <c r="D713" t="s">
        <v>1422</v>
      </c>
      <c r="E713" s="568" t="s">
        <v>1397</v>
      </c>
      <c r="F713" s="574">
        <v>10</v>
      </c>
      <c r="H713" s="559" t="s">
        <v>1413</v>
      </c>
      <c r="I713" s="559" t="s">
        <v>1414</v>
      </c>
      <c r="J713" s="559" t="b">
        <f t="shared" ref="J713:J782" si="18">_xlfn.ISFORMULA(F713)</f>
        <v>0</v>
      </c>
    </row>
    <row r="714" spans="1:10" hidden="1">
      <c r="A714" s="559" t="str">
        <f t="shared" si="17"/>
        <v>Residential_Building Shell_Wall Insulation (Electric Heat)_Lifetime (years)</v>
      </c>
      <c r="B714" t="s">
        <v>1165</v>
      </c>
      <c r="C714" t="s">
        <v>1169</v>
      </c>
      <c r="D714" t="s">
        <v>1422</v>
      </c>
      <c r="E714" s="568" t="s">
        <v>1231</v>
      </c>
      <c r="F714" s="575">
        <v>30</v>
      </c>
      <c r="H714" s="559" t="s">
        <v>1413</v>
      </c>
      <c r="I714" s="559" t="s">
        <v>1414</v>
      </c>
      <c r="J714" s="559" t="b">
        <f t="shared" si="18"/>
        <v>0</v>
      </c>
    </row>
    <row r="715" spans="1:10" hidden="1">
      <c r="A715" s="559" t="str">
        <f t="shared" si="17"/>
        <v>Residential_Building Shell_Wall Insulation (Electric Heat)_Incremental Cost</v>
      </c>
      <c r="B715" t="s">
        <v>1165</v>
      </c>
      <c r="C715" t="s">
        <v>1169</v>
      </c>
      <c r="D715" t="s">
        <v>1422</v>
      </c>
      <c r="E715" s="568" t="s">
        <v>1232</v>
      </c>
      <c r="F715" s="570">
        <f>0.9*F659</f>
        <v>0</v>
      </c>
      <c r="G715" s="559" t="s">
        <v>1398</v>
      </c>
      <c r="H715" s="559" t="s">
        <v>1413</v>
      </c>
      <c r="I715" s="559" t="s">
        <v>1414</v>
      </c>
      <c r="J715" s="559" t="b">
        <f t="shared" si="18"/>
        <v>1</v>
      </c>
    </row>
    <row r="716" spans="1:10" hidden="1">
      <c r="A716" s="559" t="str">
        <f t="shared" si="17"/>
        <v>Residential_Building Shell_Wall Insulation (Electric Heat)_BTU Impact_Existing_Fossil Fuel</v>
      </c>
      <c r="B716" t="s">
        <v>1165</v>
      </c>
      <c r="C716" t="s">
        <v>1169</v>
      </c>
      <c r="D716" t="s">
        <v>1422</v>
      </c>
      <c r="E716" s="568" t="s">
        <v>1234</v>
      </c>
      <c r="F716" s="569">
        <v>0</v>
      </c>
      <c r="H716" s="559" t="s">
        <v>1413</v>
      </c>
      <c r="I716" s="559" t="s">
        <v>1414</v>
      </c>
      <c r="J716" s="559" t="b">
        <f t="shared" si="18"/>
        <v>0</v>
      </c>
    </row>
    <row r="717" spans="1:10" hidden="1">
      <c r="A717" s="559" t="str">
        <f t="shared" si="17"/>
        <v>Residential_Building Shell_Wall Insulation (Electric Heat)_BTU Impact_Existing_Winter Electricity</v>
      </c>
      <c r="B717" t="s">
        <v>1165</v>
      </c>
      <c r="C717" t="s">
        <v>1169</v>
      </c>
      <c r="D717" t="s">
        <v>1422</v>
      </c>
      <c r="E717" s="568" t="s">
        <v>1235</v>
      </c>
      <c r="F717" s="569">
        <v>0</v>
      </c>
      <c r="H717" s="559" t="s">
        <v>1413</v>
      </c>
      <c r="I717" s="559" t="s">
        <v>1414</v>
      </c>
      <c r="J717" s="559" t="b">
        <f t="shared" si="18"/>
        <v>0</v>
      </c>
    </row>
    <row r="718" spans="1:10" hidden="1">
      <c r="A718" s="559" t="str">
        <f t="shared" si="17"/>
        <v>Residential_Building Shell_Wall Insulation (Electric Heat)_BTU Impact_Existing_Summer Electricity</v>
      </c>
      <c r="B718" t="s">
        <v>1165</v>
      </c>
      <c r="C718" t="s">
        <v>1169</v>
      </c>
      <c r="D718" t="s">
        <v>1422</v>
      </c>
      <c r="E718" s="568" t="s">
        <v>1236</v>
      </c>
      <c r="F718" s="569">
        <v>0</v>
      </c>
      <c r="H718" s="559" t="s">
        <v>1413</v>
      </c>
      <c r="I718" s="559" t="s">
        <v>1414</v>
      </c>
      <c r="J718" s="559" t="b">
        <f t="shared" si="18"/>
        <v>0</v>
      </c>
    </row>
    <row r="719" spans="1:10" hidden="1">
      <c r="A719" s="559" t="str">
        <f t="shared" si="17"/>
        <v>Residential_Building Shell_Wall Insulation (Electric Heat)_BTU Impact_New_Fossil Fuel</v>
      </c>
      <c r="B719" t="s">
        <v>1165</v>
      </c>
      <c r="C719" t="s">
        <v>1169</v>
      </c>
      <c r="D719" t="s">
        <v>1422</v>
      </c>
      <c r="E719" s="568" t="s">
        <v>1237</v>
      </c>
      <c r="F719" s="569">
        <v>0</v>
      </c>
      <c r="H719" s="559" t="s">
        <v>1413</v>
      </c>
      <c r="I719" s="559" t="s">
        <v>1414</v>
      </c>
      <c r="J719" s="559" t="b">
        <f t="shared" si="18"/>
        <v>0</v>
      </c>
    </row>
    <row r="720" spans="1:10" hidden="1">
      <c r="A720" s="559" t="str">
        <f t="shared" si="17"/>
        <v>Residential_Building Shell_Wall Insulation (Electric Heat)_BTU Impact_New_Winter Electricity</v>
      </c>
      <c r="B720" t="s">
        <v>1165</v>
      </c>
      <c r="C720" t="s">
        <v>1169</v>
      </c>
      <c r="D720" t="s">
        <v>1422</v>
      </c>
      <c r="E720" s="568" t="s">
        <v>1238</v>
      </c>
      <c r="F720" s="569" t="e">
        <f>-F682*3412</f>
        <v>#DIV/0!</v>
      </c>
      <c r="H720" s="559" t="s">
        <v>1413</v>
      </c>
      <c r="I720" s="559" t="s">
        <v>1414</v>
      </c>
      <c r="J720" s="559" t="b">
        <f t="shared" si="18"/>
        <v>1</v>
      </c>
    </row>
    <row r="721" spans="1:10" hidden="1">
      <c r="A721" s="559" t="str">
        <f t="shared" si="17"/>
        <v>Residential_Building Shell_Wall Insulation (Electric Heat)_BTU Impact_New_Summer Electricity</v>
      </c>
      <c r="B721" t="s">
        <v>1165</v>
      </c>
      <c r="C721" t="s">
        <v>1169</v>
      </c>
      <c r="D721" t="s">
        <v>1422</v>
      </c>
      <c r="E721" s="568" t="s">
        <v>1239</v>
      </c>
      <c r="F721" s="569" t="e">
        <f>-F669*3412</f>
        <v>#DIV/0!</v>
      </c>
      <c r="H721" s="559" t="s">
        <v>1413</v>
      </c>
      <c r="I721" s="559" t="s">
        <v>1414</v>
      </c>
      <c r="J721" s="559" t="b">
        <f t="shared" si="18"/>
        <v>1</v>
      </c>
    </row>
    <row r="722" spans="1:10" hidden="1">
      <c r="A722" s="559" t="str">
        <f t="shared" si="17"/>
        <v>Residential_Building Shell_Wall Insulation (Electric Heat)_</v>
      </c>
      <c r="B722" t="s">
        <v>1165</v>
      </c>
      <c r="C722" t="s">
        <v>1169</v>
      </c>
      <c r="D722" t="s">
        <v>1422</v>
      </c>
      <c r="H722" s="559" t="s">
        <v>1413</v>
      </c>
      <c r="I722" s="559" t="s">
        <v>1414</v>
      </c>
      <c r="J722" s="559" t="b">
        <f t="shared" si="18"/>
        <v>0</v>
      </c>
    </row>
    <row r="723" spans="1:10" hidden="1">
      <c r="A723" s="559" t="str">
        <f t="shared" si="17"/>
        <v>Residential_Building Shell_Rim/Band Joist Insulation (Electric Heat)_R_old</v>
      </c>
      <c r="B723" t="s">
        <v>1165</v>
      </c>
      <c r="C723" t="s">
        <v>1169</v>
      </c>
      <c r="D723" t="s">
        <v>1424</v>
      </c>
      <c r="E723" s="562" t="s">
        <v>1400</v>
      </c>
      <c r="F723" s="572">
        <f>[18]Dashboard_FS!$O$20</f>
        <v>1</v>
      </c>
      <c r="G723" s="559" t="s">
        <v>1423</v>
      </c>
      <c r="H723" s="559" t="s">
        <v>1425</v>
      </c>
      <c r="I723" s="559" t="s">
        <v>1426</v>
      </c>
      <c r="J723" s="559" t="b">
        <f t="shared" si="18"/>
        <v>1</v>
      </c>
    </row>
    <row r="724" spans="1:10" hidden="1">
      <c r="A724" s="559" t="str">
        <f t="shared" si="17"/>
        <v>Residential_Building Shell_Rim/Band Joist Insulation (Electric Heat)_R_rim</v>
      </c>
      <c r="B724" t="s">
        <v>1165</v>
      </c>
      <c r="C724" t="s">
        <v>1169</v>
      </c>
      <c r="D724" t="s">
        <v>1424</v>
      </c>
      <c r="E724" s="562" t="s">
        <v>1427</v>
      </c>
      <c r="F724" s="572">
        <f>[18]Dashboard_FS!$P$20</f>
        <v>0</v>
      </c>
      <c r="H724" s="559" t="s">
        <v>1425</v>
      </c>
      <c r="I724" s="559" t="s">
        <v>1426</v>
      </c>
      <c r="J724" s="559" t="b">
        <f t="shared" si="18"/>
        <v>1</v>
      </c>
    </row>
    <row r="725" spans="1:10" hidden="1">
      <c r="A725" s="559" t="str">
        <f t="shared" si="17"/>
        <v>Residential_Building Shell_Rim/Band Joist Insulation (Electric Heat)_A_rim</v>
      </c>
      <c r="B725" t="s">
        <v>1165</v>
      </c>
      <c r="C725" t="s">
        <v>1169</v>
      </c>
      <c r="D725" t="s">
        <v>1424</v>
      </c>
      <c r="E725" s="560" t="s">
        <v>1428</v>
      </c>
      <c r="F725" s="571">
        <f>[18]Dashboard_FS!$O$9</f>
        <v>0</v>
      </c>
      <c r="G725" s="559" t="s">
        <v>1361</v>
      </c>
      <c r="H725" s="559" t="s">
        <v>1425</v>
      </c>
      <c r="I725" s="559" t="s">
        <v>1426</v>
      </c>
      <c r="J725" s="559" t="b">
        <f t="shared" si="18"/>
        <v>1</v>
      </c>
    </row>
    <row r="726" spans="1:10" hidden="1">
      <c r="A726" s="559" t="str">
        <f t="shared" si="17"/>
        <v>Residential_Building Shell_Rim/Band Joist Insulation (Electric Heat)_Framing_factor_rim</v>
      </c>
      <c r="B726" t="s">
        <v>1165</v>
      </c>
      <c r="C726" t="s">
        <v>1169</v>
      </c>
      <c r="D726" t="s">
        <v>1424</v>
      </c>
      <c r="E726" s="562" t="s">
        <v>1429</v>
      </c>
      <c r="F726" s="572">
        <v>0.05</v>
      </c>
      <c r="H726" s="559" t="s">
        <v>1425</v>
      </c>
      <c r="I726" s="559" t="s">
        <v>1426</v>
      </c>
      <c r="J726" s="559" t="b">
        <f t="shared" si="18"/>
        <v>0</v>
      </c>
    </row>
    <row r="727" spans="1:10" hidden="1">
      <c r="A727" s="559" t="str">
        <f t="shared" si="17"/>
        <v>Residential_Building Shell_Rim/Band Joist Insulation (Electric Heat)_CDD</v>
      </c>
      <c r="B727" t="s">
        <v>1165</v>
      </c>
      <c r="C727" t="s">
        <v>1169</v>
      </c>
      <c r="D727" t="s">
        <v>1424</v>
      </c>
      <c r="E727" s="562" t="s">
        <v>1368</v>
      </c>
      <c r="F727" s="582" t="e">
        <f>INDEX('[18]CZ Inputs'!G:G,MATCH(A727&amp;"_"&amp;[18]Dashboard_EE!$K$3,'[18]CZ Inputs'!A:A,0))</f>
        <v>#N/A</v>
      </c>
      <c r="G727" s="559" t="s">
        <v>1430</v>
      </c>
      <c r="H727" s="559" t="s">
        <v>1425</v>
      </c>
      <c r="I727" s="559" t="s">
        <v>1426</v>
      </c>
      <c r="J727" s="559" t="b">
        <f t="shared" si="18"/>
        <v>1</v>
      </c>
    </row>
    <row r="728" spans="1:10" hidden="1">
      <c r="A728" s="559" t="str">
        <f t="shared" si="17"/>
        <v>Residential_Building Shell_Rim/Band Joist Insulation (Electric Heat)_24</v>
      </c>
      <c r="B728" t="s">
        <v>1165</v>
      </c>
      <c r="C728" t="s">
        <v>1169</v>
      </c>
      <c r="D728" t="s">
        <v>1424</v>
      </c>
      <c r="E728" s="562">
        <v>24</v>
      </c>
      <c r="F728" s="572">
        <v>24</v>
      </c>
      <c r="H728" s="559" t="s">
        <v>1425</v>
      </c>
      <c r="I728" s="559" t="s">
        <v>1426</v>
      </c>
      <c r="J728" s="559" t="b">
        <f t="shared" si="18"/>
        <v>0</v>
      </c>
    </row>
    <row r="729" spans="1:10" hidden="1">
      <c r="A729" s="559" t="str">
        <f t="shared" si="17"/>
        <v>Residential_Building Shell_Rim/Band Joist Insulation (Electric Heat)_DUA</v>
      </c>
      <c r="B729" t="s">
        <v>1165</v>
      </c>
      <c r="C729" t="s">
        <v>1169</v>
      </c>
      <c r="D729" t="s">
        <v>1424</v>
      </c>
      <c r="E729" s="562" t="s">
        <v>1370</v>
      </c>
      <c r="F729" s="572">
        <v>0.75</v>
      </c>
      <c r="H729" s="559" t="s">
        <v>1425</v>
      </c>
      <c r="I729" s="559" t="s">
        <v>1426</v>
      </c>
      <c r="J729" s="559" t="b">
        <f t="shared" si="18"/>
        <v>0</v>
      </c>
    </row>
    <row r="730" spans="1:10" hidden="1">
      <c r="A730" s="559" t="str">
        <f t="shared" si="17"/>
        <v>Residential_Building Shell_Rim/Band Joist Insulation (Electric Heat)_ADJBasementCool</v>
      </c>
      <c r="B730" t="s">
        <v>1165</v>
      </c>
      <c r="C730" t="s">
        <v>1169</v>
      </c>
      <c r="D730" t="s">
        <v>1424</v>
      </c>
      <c r="E730" s="562" t="s">
        <v>1431</v>
      </c>
      <c r="F730" s="582">
        <v>0.75</v>
      </c>
      <c r="H730" s="559" t="s">
        <v>1425</v>
      </c>
      <c r="I730" s="559" t="s">
        <v>1426</v>
      </c>
      <c r="J730" s="559" t="b">
        <f t="shared" si="18"/>
        <v>0</v>
      </c>
    </row>
    <row r="731" spans="1:10" hidden="1">
      <c r="A731" s="559" t="str">
        <f t="shared" si="17"/>
        <v>Residential_Building Shell_Rim/Band Joist Insulation (Electric Heat)_%Cool</v>
      </c>
      <c r="B731" t="s">
        <v>1165</v>
      </c>
      <c r="C731" t="s">
        <v>1169</v>
      </c>
      <c r="D731" t="s">
        <v>1424</v>
      </c>
      <c r="E731" s="562" t="s">
        <v>1344</v>
      </c>
      <c r="F731" s="572">
        <v>1</v>
      </c>
      <c r="H731" s="559" t="s">
        <v>1425</v>
      </c>
      <c r="I731" s="559" t="s">
        <v>1426</v>
      </c>
      <c r="J731" s="559" t="b">
        <f t="shared" si="18"/>
        <v>0</v>
      </c>
    </row>
    <row r="732" spans="1:10" hidden="1">
      <c r="A732" s="559" t="str">
        <f t="shared" si="17"/>
        <v>Residential_Building Shell_Rim/Band Joist Insulation (Electric Heat)_1000</v>
      </c>
      <c r="B732" t="s">
        <v>1165</v>
      </c>
      <c r="C732" t="s">
        <v>1169</v>
      </c>
      <c r="D732" t="s">
        <v>1424</v>
      </c>
      <c r="E732" s="562">
        <v>1000</v>
      </c>
      <c r="F732" s="572">
        <v>1000</v>
      </c>
      <c r="H732" s="559" t="s">
        <v>1425</v>
      </c>
      <c r="I732" s="559" t="s">
        <v>1426</v>
      </c>
      <c r="J732" s="559" t="b">
        <f t="shared" si="18"/>
        <v>0</v>
      </c>
    </row>
    <row r="733" spans="1:10" hidden="1">
      <c r="A733" s="559" t="str">
        <f t="shared" si="17"/>
        <v>Residential_Building Shell_Rim/Band Joist Insulation (Electric Heat)_ηCool</v>
      </c>
      <c r="B733" t="s">
        <v>1165</v>
      </c>
      <c r="C733" t="s">
        <v>1169</v>
      </c>
      <c r="D733" t="s">
        <v>1424</v>
      </c>
      <c r="E733" s="560" t="s">
        <v>1371</v>
      </c>
      <c r="F733" s="571" t="e">
        <f>[18]Dashboard_FS!$K$13</f>
        <v>#REF!</v>
      </c>
      <c r="G733" s="559" t="s">
        <v>1187</v>
      </c>
      <c r="H733" s="559" t="s">
        <v>1425</v>
      </c>
      <c r="I733" s="559" t="s">
        <v>1426</v>
      </c>
      <c r="J733" s="559" t="b">
        <f t="shared" si="18"/>
        <v>1</v>
      </c>
    </row>
    <row r="734" spans="1:10" hidden="1">
      <c r="A734" s="559" t="str">
        <f t="shared" si="17"/>
        <v>Residential_Building Shell_Rim/Band Joist Insulation (Electric Heat)_ηCool_Mid-Life_Adj</v>
      </c>
      <c r="B734" t="s">
        <v>1165</v>
      </c>
      <c r="C734" t="s">
        <v>1169</v>
      </c>
      <c r="D734" t="s">
        <v>1424</v>
      </c>
      <c r="E734" s="560" t="s">
        <v>1372</v>
      </c>
      <c r="F734" s="571" t="e">
        <f>[18]Dashboard_FS!$K$13</f>
        <v>#REF!</v>
      </c>
      <c r="G734" s="559" t="s">
        <v>1187</v>
      </c>
      <c r="H734" s="559" t="s">
        <v>1425</v>
      </c>
      <c r="I734" s="559" t="s">
        <v>1426</v>
      </c>
      <c r="J734" s="559" t="b">
        <f t="shared" si="18"/>
        <v>1</v>
      </c>
    </row>
    <row r="735" spans="1:10" hidden="1">
      <c r="A735" s="559" t="str">
        <f t="shared" si="17"/>
        <v>Residential_Building Shell_Rim/Band Joist Insulation (Electric Heat)_Delta_kWh_cooling</v>
      </c>
      <c r="B735" t="s">
        <v>1165</v>
      </c>
      <c r="C735" t="s">
        <v>1169</v>
      </c>
      <c r="D735" t="s">
        <v>1424</v>
      </c>
      <c r="E735" s="560" t="s">
        <v>1377</v>
      </c>
      <c r="F735" s="571" t="e">
        <f xml:space="preserve"> ((1/ F723 - 1/ F724) * F725 * (1 - F726) * F727 * F728 * F729 * F730 * F731) / (F732 * F733)</f>
        <v>#DIV/0!</v>
      </c>
      <c r="H735" s="559" t="s">
        <v>1425</v>
      </c>
      <c r="I735" s="559" t="s">
        <v>1426</v>
      </c>
      <c r="J735" s="559" t="b">
        <f t="shared" si="18"/>
        <v>1</v>
      </c>
    </row>
    <row r="736" spans="1:10" hidden="1">
      <c r="A736" s="559" t="str">
        <f t="shared" si="17"/>
        <v>Residential_Building Shell_Rim/Band Joist Insulation (Electric Heat)_Delta_kWh_cooling_Mid-Life_Adj</v>
      </c>
      <c r="B736" t="s">
        <v>1165</v>
      </c>
      <c r="C736" t="s">
        <v>1169</v>
      </c>
      <c r="D736" t="s">
        <v>1424</v>
      </c>
      <c r="E736" s="560" t="s">
        <v>1378</v>
      </c>
      <c r="F736" s="571" t="e">
        <f xml:space="preserve"> ((1/ F723 - 1/ F724) * F725 * (1 - F726) * F727 * F728 * F729 * F730 * F731) / (F732 * F734)</f>
        <v>#DIV/0!</v>
      </c>
      <c r="H736" s="559" t="s">
        <v>1425</v>
      </c>
      <c r="I736" s="559" t="s">
        <v>1426</v>
      </c>
      <c r="J736" s="559" t="b">
        <f t="shared" si="18"/>
        <v>1</v>
      </c>
    </row>
    <row r="737" spans="1:10" hidden="1">
      <c r="A737" s="559" t="str">
        <f t="shared" si="17"/>
        <v>Residential_Building Shell_Rim/Band Joist Insulation (Electric Heat)_R_old</v>
      </c>
      <c r="B737" t="s">
        <v>1165</v>
      </c>
      <c r="C737" t="s">
        <v>1169</v>
      </c>
      <c r="D737" t="s">
        <v>1424</v>
      </c>
      <c r="E737" s="562" t="s">
        <v>1400</v>
      </c>
      <c r="F737" s="572">
        <f>[18]Dashboard_FS!$O$20</f>
        <v>1</v>
      </c>
      <c r="G737" s="559" t="s">
        <v>1423</v>
      </c>
      <c r="H737" s="559" t="s">
        <v>1425</v>
      </c>
      <c r="I737" s="559" t="s">
        <v>1426</v>
      </c>
      <c r="J737" s="559" t="b">
        <f t="shared" si="18"/>
        <v>1</v>
      </c>
    </row>
    <row r="738" spans="1:10" hidden="1">
      <c r="A738" s="559" t="str">
        <f t="shared" si="17"/>
        <v>Residential_Building Shell_Rim/Band Joist Insulation (Electric Heat)_R_rim</v>
      </c>
      <c r="B738" t="s">
        <v>1165</v>
      </c>
      <c r="C738" t="s">
        <v>1169</v>
      </c>
      <c r="D738" t="s">
        <v>1424</v>
      </c>
      <c r="E738" s="562" t="s">
        <v>1427</v>
      </c>
      <c r="F738" s="572">
        <f>[18]Dashboard_FS!$P$20</f>
        <v>0</v>
      </c>
      <c r="H738" s="559" t="s">
        <v>1425</v>
      </c>
      <c r="I738" s="559" t="s">
        <v>1426</v>
      </c>
      <c r="J738" s="559" t="b">
        <f t="shared" si="18"/>
        <v>1</v>
      </c>
    </row>
    <row r="739" spans="1:10" hidden="1">
      <c r="A739" s="559" t="str">
        <f t="shared" si="17"/>
        <v>Residential_Building Shell_Rim/Band Joist Insulation (Electric Heat)_A_rim</v>
      </c>
      <c r="B739" t="s">
        <v>1165</v>
      </c>
      <c r="C739" t="s">
        <v>1169</v>
      </c>
      <c r="D739" t="s">
        <v>1424</v>
      </c>
      <c r="E739" s="560" t="s">
        <v>1428</v>
      </c>
      <c r="F739" s="571">
        <f>[18]Dashboard_FS!$O$9</f>
        <v>0</v>
      </c>
      <c r="G739" s="559" t="s">
        <v>1361</v>
      </c>
      <c r="H739" s="559" t="s">
        <v>1425</v>
      </c>
      <c r="I739" s="559" t="s">
        <v>1426</v>
      </c>
      <c r="J739" s="559" t="b">
        <f t="shared" si="18"/>
        <v>1</v>
      </c>
    </row>
    <row r="740" spans="1:10" hidden="1">
      <c r="A740" s="559" t="str">
        <f t="shared" si="17"/>
        <v>Residential_Building Shell_Rim/Band Joist Insulation (Electric Heat)_Framing_factor_rim</v>
      </c>
      <c r="B740" t="s">
        <v>1165</v>
      </c>
      <c r="C740" t="s">
        <v>1169</v>
      </c>
      <c r="D740" t="s">
        <v>1424</v>
      </c>
      <c r="E740" s="562" t="s">
        <v>1429</v>
      </c>
      <c r="F740" s="572">
        <v>0.05</v>
      </c>
      <c r="H740" s="559" t="s">
        <v>1425</v>
      </c>
      <c r="I740" s="559" t="s">
        <v>1426</v>
      </c>
      <c r="J740" s="559" t="b">
        <f t="shared" si="18"/>
        <v>0</v>
      </c>
    </row>
    <row r="741" spans="1:10" hidden="1">
      <c r="A741" s="559" t="str">
        <f t="shared" si="17"/>
        <v>Residential_Building Shell_Rim/Band Joist Insulation (Electric Heat)_HDD</v>
      </c>
      <c r="B741" t="s">
        <v>1165</v>
      </c>
      <c r="C741" t="s">
        <v>1169</v>
      </c>
      <c r="D741" t="s">
        <v>1424</v>
      </c>
      <c r="E741" s="562" t="s">
        <v>1380</v>
      </c>
      <c r="F741" s="582" t="e">
        <f>INDEX('[18]CZ Inputs'!G:G,MATCH(A741&amp;"_"&amp;[18]Dashboard_EE!$K$3,'[18]CZ Inputs'!A:A,0))</f>
        <v>#N/A</v>
      </c>
      <c r="G741" s="559" t="s">
        <v>1430</v>
      </c>
      <c r="H741" s="559" t="s">
        <v>1425</v>
      </c>
      <c r="I741" s="559" t="s">
        <v>1426</v>
      </c>
      <c r="J741" s="559" t="b">
        <f t="shared" si="18"/>
        <v>1</v>
      </c>
    </row>
    <row r="742" spans="1:10" hidden="1">
      <c r="A742" s="559" t="str">
        <f t="shared" si="17"/>
        <v>Residential_Building Shell_Rim/Band Joist Insulation (Electric Heat)_24</v>
      </c>
      <c r="B742" t="s">
        <v>1165</v>
      </c>
      <c r="C742" t="s">
        <v>1169</v>
      </c>
      <c r="D742" t="s">
        <v>1424</v>
      </c>
      <c r="E742" s="562">
        <v>24</v>
      </c>
      <c r="F742" s="572">
        <v>24</v>
      </c>
      <c r="H742" s="559" t="s">
        <v>1425</v>
      </c>
      <c r="I742" s="559" t="s">
        <v>1426</v>
      </c>
      <c r="J742" s="559" t="b">
        <f t="shared" si="18"/>
        <v>0</v>
      </c>
    </row>
    <row r="743" spans="1:10" hidden="1">
      <c r="A743" s="559" t="str">
        <f t="shared" si="17"/>
        <v>Residential_Building Shell_Rim/Band Joist Insulation (Electric Heat)_ADJBasementHeat</v>
      </c>
      <c r="B743" t="s">
        <v>1165</v>
      </c>
      <c r="C743" t="s">
        <v>1169</v>
      </c>
      <c r="D743" t="s">
        <v>1424</v>
      </c>
      <c r="E743" s="562" t="s">
        <v>1432</v>
      </c>
      <c r="F743" s="582">
        <v>0.63</v>
      </c>
      <c r="H743" s="559" t="s">
        <v>1425</v>
      </c>
      <c r="I743" s="559" t="s">
        <v>1426</v>
      </c>
      <c r="J743" s="559" t="b">
        <f t="shared" si="18"/>
        <v>0</v>
      </c>
    </row>
    <row r="744" spans="1:10" hidden="1">
      <c r="A744" s="559" t="str">
        <f t="shared" si="17"/>
        <v>Residential_Building Shell_Rim/Band Joist Insulation (Electric Heat)_%ElectricHeat</v>
      </c>
      <c r="B744" t="s">
        <v>1165</v>
      </c>
      <c r="C744" t="s">
        <v>1169</v>
      </c>
      <c r="D744" t="s">
        <v>1424</v>
      </c>
      <c r="E744" s="562" t="s">
        <v>1349</v>
      </c>
      <c r="F744" s="572">
        <v>1</v>
      </c>
      <c r="G744" s="559" t="s">
        <v>1383</v>
      </c>
      <c r="H744" s="559" t="s">
        <v>1425</v>
      </c>
      <c r="I744" s="559" t="s">
        <v>1426</v>
      </c>
      <c r="J744" s="559" t="b">
        <f t="shared" si="18"/>
        <v>0</v>
      </c>
    </row>
    <row r="745" spans="1:10" hidden="1">
      <c r="A745" s="559" t="str">
        <f t="shared" si="17"/>
        <v>Residential_Building Shell_Rim/Band Joist Insulation (Electric Heat)_ηHeat</v>
      </c>
      <c r="B745" t="s">
        <v>1165</v>
      </c>
      <c r="C745" t="s">
        <v>1169</v>
      </c>
      <c r="D745" t="s">
        <v>1424</v>
      </c>
      <c r="E745" s="560" t="s">
        <v>1381</v>
      </c>
      <c r="F745" s="571" t="e">
        <f>[18]Dashboard_FS!$K$6</f>
        <v>#REF!</v>
      </c>
      <c r="G745" s="559" t="s">
        <v>1187</v>
      </c>
      <c r="H745" s="559" t="s">
        <v>1425</v>
      </c>
      <c r="I745" s="559" t="s">
        <v>1426</v>
      </c>
      <c r="J745" s="559" t="b">
        <f t="shared" si="18"/>
        <v>1</v>
      </c>
    </row>
    <row r="746" spans="1:10" hidden="1">
      <c r="A746" s="559" t="str">
        <f t="shared" si="17"/>
        <v>Residential_Building Shell_Rim/Band Joist Insulation (Electric Heat)_ηHeat_Mid-Life_Adj</v>
      </c>
      <c r="B746" t="s">
        <v>1165</v>
      </c>
      <c r="C746" t="s">
        <v>1169</v>
      </c>
      <c r="D746" t="s">
        <v>1424</v>
      </c>
      <c r="E746" s="560" t="s">
        <v>1382</v>
      </c>
      <c r="F746" s="571" t="e">
        <f>[18]Dashboard_FS!$K$6</f>
        <v>#REF!</v>
      </c>
      <c r="G746" s="559" t="s">
        <v>1187</v>
      </c>
      <c r="H746" s="559" t="s">
        <v>1425</v>
      </c>
      <c r="I746" s="559" t="s">
        <v>1426</v>
      </c>
      <c r="J746" s="559" t="b">
        <f t="shared" si="18"/>
        <v>1</v>
      </c>
    </row>
    <row r="747" spans="1:10" hidden="1">
      <c r="A747" s="559" t="str">
        <f t="shared" si="17"/>
        <v>Residential_Building Shell_Rim/Band Joist Insulation (Electric Heat)_3412</v>
      </c>
      <c r="B747" t="s">
        <v>1165</v>
      </c>
      <c r="C747" t="s">
        <v>1169</v>
      </c>
      <c r="D747" t="s">
        <v>1424</v>
      </c>
      <c r="E747" s="562">
        <v>3412</v>
      </c>
      <c r="F747" s="572">
        <v>3412</v>
      </c>
      <c r="H747" s="559" t="s">
        <v>1425</v>
      </c>
      <c r="I747" s="559" t="s">
        <v>1426</v>
      </c>
      <c r="J747" s="559" t="b">
        <f t="shared" si="18"/>
        <v>0</v>
      </c>
    </row>
    <row r="748" spans="1:10" hidden="1">
      <c r="A748" s="559" t="str">
        <f t="shared" si="17"/>
        <v>Residential_Building Shell_Rim/Band Joist Insulation (Electric Heat)_Delta_kWh_heatingElectric</v>
      </c>
      <c r="B748" t="s">
        <v>1165</v>
      </c>
      <c r="C748" t="s">
        <v>1169</v>
      </c>
      <c r="D748" t="s">
        <v>1424</v>
      </c>
      <c r="E748" s="560" t="s">
        <v>1384</v>
      </c>
      <c r="F748" s="571" t="e">
        <f xml:space="preserve"> ((1/ F737 - 1/ F738) *F739 * (1 - F740) * F741 * F742 * F743 * F744) / (F745 * F747)</f>
        <v>#DIV/0!</v>
      </c>
      <c r="H748" s="559" t="s">
        <v>1425</v>
      </c>
      <c r="I748" s="559" t="s">
        <v>1426</v>
      </c>
      <c r="J748" s="559" t="b">
        <f t="shared" si="18"/>
        <v>1</v>
      </c>
    </row>
    <row r="749" spans="1:10" hidden="1">
      <c r="A749" s="559" t="str">
        <f t="shared" si="17"/>
        <v>Residential_Building Shell_Rim/Band Joist Insulation (Electric Heat)_Delta_kWh_heatingElectric_Mid-Life_Adj</v>
      </c>
      <c r="B749" t="s">
        <v>1165</v>
      </c>
      <c r="C749" t="s">
        <v>1169</v>
      </c>
      <c r="D749" t="s">
        <v>1424</v>
      </c>
      <c r="E749" s="560" t="s">
        <v>1385</v>
      </c>
      <c r="F749" s="571" t="e">
        <f xml:space="preserve"> ((1/ F737 - 1/ F738) *F739 * (1 - F740) * F741 * F742 * F743 * F744) / (F746 * F747)</f>
        <v>#DIV/0!</v>
      </c>
      <c r="H749" s="559" t="s">
        <v>1425</v>
      </c>
      <c r="I749" s="559" t="s">
        <v>1426</v>
      </c>
      <c r="J749" s="559" t="b">
        <f t="shared" si="18"/>
        <v>1</v>
      </c>
    </row>
    <row r="750" spans="1:10" hidden="1">
      <c r="A750" s="559" t="str">
        <f t="shared" si="17"/>
        <v>Residential_Building Shell_Rim/Band Joist Insulation (Electric Heat)_Delta_Therms</v>
      </c>
      <c r="B750" t="s">
        <v>1165</v>
      </c>
      <c r="C750" t="s">
        <v>1169</v>
      </c>
      <c r="D750" t="s">
        <v>1424</v>
      </c>
      <c r="E750" s="560" t="s">
        <v>1301</v>
      </c>
      <c r="F750" s="571" t="e">
        <f>F771</f>
        <v>#DIV/0!</v>
      </c>
      <c r="H750" s="559" t="s">
        <v>1425</v>
      </c>
      <c r="I750" s="559" t="s">
        <v>1426</v>
      </c>
      <c r="J750" s="559" t="b">
        <f t="shared" si="18"/>
        <v>1</v>
      </c>
    </row>
    <row r="751" spans="1:10" hidden="1">
      <c r="A751" s="559" t="str">
        <f t="shared" si="17"/>
        <v>Residential_Building Shell_Rim/Band Joist Insulation (Electric Heat)_Delta_Therms_Mid-Life_Adj</v>
      </c>
      <c r="B751" t="s">
        <v>1165</v>
      </c>
      <c r="C751" t="s">
        <v>1169</v>
      </c>
      <c r="D751" t="s">
        <v>1424</v>
      </c>
      <c r="E751" s="560" t="s">
        <v>1420</v>
      </c>
      <c r="F751" s="571" t="e">
        <f>F772</f>
        <v>#DIV/0!</v>
      </c>
      <c r="H751" s="559" t="s">
        <v>1425</v>
      </c>
      <c r="I751" s="559" t="s">
        <v>1426</v>
      </c>
      <c r="J751" s="559" t="b">
        <f t="shared" si="18"/>
        <v>1</v>
      </c>
    </row>
    <row r="752" spans="1:10" hidden="1">
      <c r="A752" s="559" t="str">
        <f t="shared" si="17"/>
        <v>Residential_Building Shell_Rim/Band Joist Insulation (Electric Heat)_Fe</v>
      </c>
      <c r="B752" t="s">
        <v>1165</v>
      </c>
      <c r="C752" t="s">
        <v>1169</v>
      </c>
      <c r="D752" t="s">
        <v>1424</v>
      </c>
      <c r="E752" s="562" t="s">
        <v>1198</v>
      </c>
      <c r="F752" s="572">
        <v>3.1399999999999997E-2</v>
      </c>
      <c r="H752" s="559" t="s">
        <v>1425</v>
      </c>
      <c r="I752" s="559" t="s">
        <v>1426</v>
      </c>
      <c r="J752" s="559" t="b">
        <f t="shared" si="18"/>
        <v>0</v>
      </c>
    </row>
    <row r="753" spans="1:10" hidden="1">
      <c r="A753" s="559" t="str">
        <f t="shared" si="17"/>
        <v>Residential_Building Shell_Rim/Band Joist Insulation (Electric Heat)_29.3</v>
      </c>
      <c r="B753" t="s">
        <v>1165</v>
      </c>
      <c r="C753" t="s">
        <v>1169</v>
      </c>
      <c r="D753" t="s">
        <v>1424</v>
      </c>
      <c r="E753" s="562">
        <v>29.3</v>
      </c>
      <c r="F753" s="572">
        <v>29.3</v>
      </c>
      <c r="H753" s="559" t="s">
        <v>1425</v>
      </c>
      <c r="I753" s="559" t="s">
        <v>1426</v>
      </c>
      <c r="J753" s="559" t="b">
        <f t="shared" si="18"/>
        <v>0</v>
      </c>
    </row>
    <row r="754" spans="1:10" hidden="1">
      <c r="A754" s="559" t="str">
        <f t="shared" si="17"/>
        <v>Residential_Building Shell_Rim/Band Joist Insulation (Electric Heat)_Delta_kWh_heatingGas</v>
      </c>
      <c r="B754" t="s">
        <v>1165</v>
      </c>
      <c r="C754" t="s">
        <v>1169</v>
      </c>
      <c r="D754" t="s">
        <v>1424</v>
      </c>
      <c r="E754" s="560" t="s">
        <v>1387</v>
      </c>
      <c r="F754" s="571" t="e">
        <f>F750*F752*F753</f>
        <v>#DIV/0!</v>
      </c>
      <c r="H754" s="559" t="s">
        <v>1425</v>
      </c>
      <c r="I754" s="559" t="s">
        <v>1426</v>
      </c>
      <c r="J754" s="559" t="b">
        <f t="shared" si="18"/>
        <v>1</v>
      </c>
    </row>
    <row r="755" spans="1:10" hidden="1">
      <c r="A755" s="559" t="str">
        <f t="shared" si="17"/>
        <v>Residential_Building Shell_Rim/Band Joist Insulation (Electric Heat)_Delta_kWh_heatingGas_Mid-Life_Adj</v>
      </c>
      <c r="B755" t="s">
        <v>1165</v>
      </c>
      <c r="C755" t="s">
        <v>1169</v>
      </c>
      <c r="D755" t="s">
        <v>1424</v>
      </c>
      <c r="E755" s="560" t="s">
        <v>1388</v>
      </c>
      <c r="F755" s="571" t="e">
        <f>F751*F752*F753</f>
        <v>#DIV/0!</v>
      </c>
      <c r="H755" s="559" t="s">
        <v>1425</v>
      </c>
      <c r="I755" s="559" t="s">
        <v>1426</v>
      </c>
      <c r="J755" s="559" t="b">
        <f t="shared" si="18"/>
        <v>1</v>
      </c>
    </row>
    <row r="756" spans="1:10" hidden="1">
      <c r="A756" s="559" t="str">
        <f t="shared" si="17"/>
        <v>Residential_Building Shell_Rim/Band Joist Insulation (Electric Heat)_FLH_cooling</v>
      </c>
      <c r="B756" t="s">
        <v>1165</v>
      </c>
      <c r="C756" t="s">
        <v>1169</v>
      </c>
      <c r="D756" t="s">
        <v>1424</v>
      </c>
      <c r="E756" s="562" t="s">
        <v>1389</v>
      </c>
      <c r="F756" s="582" t="e">
        <f>INDEX('[18]CZ Inputs'!G:G,MATCH(A756&amp;"_"&amp;[18]Dashboard_EE!$K$3,'[18]CZ Inputs'!A:A,0))</f>
        <v>#N/A</v>
      </c>
      <c r="G756" s="559" t="s">
        <v>1369</v>
      </c>
      <c r="H756" s="559" t="s">
        <v>1425</v>
      </c>
      <c r="I756" s="559" t="s">
        <v>1426</v>
      </c>
      <c r="J756" s="559" t="b">
        <f t="shared" si="18"/>
        <v>1</v>
      </c>
    </row>
    <row r="757" spans="1:10" hidden="1">
      <c r="A757" s="559" t="str">
        <f t="shared" si="17"/>
        <v>Residential_Building Shell_Rim/Band Joist Insulation (Electric Heat)_CF</v>
      </c>
      <c r="B757" t="s">
        <v>1165</v>
      </c>
      <c r="C757" t="s">
        <v>1169</v>
      </c>
      <c r="D757" t="s">
        <v>1424</v>
      </c>
      <c r="E757" s="562" t="s">
        <v>1224</v>
      </c>
      <c r="F757" s="572">
        <v>0.68</v>
      </c>
      <c r="G757" s="559" t="s">
        <v>1266</v>
      </c>
      <c r="H757" s="559" t="s">
        <v>1425</v>
      </c>
      <c r="I757" s="559" t="s">
        <v>1426</v>
      </c>
      <c r="J757" s="559" t="b">
        <f t="shared" si="18"/>
        <v>0</v>
      </c>
    </row>
    <row r="758" spans="1:10" hidden="1">
      <c r="A758" s="559" t="str">
        <f t="shared" si="17"/>
        <v>Residential_Building Shell_Rim/Band Joist Insulation (Electric Heat)_Delta_kW</v>
      </c>
      <c r="B758" t="s">
        <v>1165</v>
      </c>
      <c r="C758" t="s">
        <v>1169</v>
      </c>
      <c r="D758" t="s">
        <v>1424</v>
      </c>
      <c r="E758" s="560" t="s">
        <v>1226</v>
      </c>
      <c r="F758" s="571" t="e">
        <f>(F735/F756)*F757</f>
        <v>#DIV/0!</v>
      </c>
      <c r="H758" s="559" t="s">
        <v>1425</v>
      </c>
      <c r="I758" s="559" t="s">
        <v>1426</v>
      </c>
      <c r="J758" s="559" t="b">
        <f t="shared" si="18"/>
        <v>1</v>
      </c>
    </row>
    <row r="759" spans="1:10" hidden="1">
      <c r="A759" s="559" t="str">
        <f t="shared" si="17"/>
        <v>Residential_Building Shell_Rim/Band Joist Insulation (Electric Heat)_Delta_kW_Mid-Life_Adj</v>
      </c>
      <c r="B759" t="s">
        <v>1165</v>
      </c>
      <c r="C759" t="s">
        <v>1169</v>
      </c>
      <c r="D759" t="s">
        <v>1424</v>
      </c>
      <c r="E759" s="560" t="s">
        <v>1390</v>
      </c>
      <c r="F759" s="571" t="e">
        <f>(F736/F756)*F757</f>
        <v>#DIV/0!</v>
      </c>
      <c r="H759" s="559" t="s">
        <v>1425</v>
      </c>
      <c r="I759" s="559" t="s">
        <v>1426</v>
      </c>
      <c r="J759" s="559" t="b">
        <f t="shared" si="18"/>
        <v>1</v>
      </c>
    </row>
    <row r="760" spans="1:10" hidden="1">
      <c r="A760" s="559" t="str">
        <f t="shared" ref="A760:A823" si="19">B760&amp;"_"&amp;C760&amp;"_"&amp;D760&amp;"_"&amp;E760</f>
        <v>Residential_Building Shell_Rim/Band Joist Insulation (Electric Heat)_R_old</v>
      </c>
      <c r="B760" t="s">
        <v>1165</v>
      </c>
      <c r="C760" t="s">
        <v>1169</v>
      </c>
      <c r="D760" t="s">
        <v>1424</v>
      </c>
      <c r="E760" s="562" t="s">
        <v>1400</v>
      </c>
      <c r="F760" s="572">
        <f>[18]Dashboard_FS!$O$20</f>
        <v>1</v>
      </c>
      <c r="G760" s="559" t="s">
        <v>1423</v>
      </c>
      <c r="H760" s="559" t="s">
        <v>1425</v>
      </c>
      <c r="I760" s="559" t="s">
        <v>1426</v>
      </c>
      <c r="J760" s="559" t="b">
        <f t="shared" si="18"/>
        <v>1</v>
      </c>
    </row>
    <row r="761" spans="1:10" hidden="1">
      <c r="A761" s="559" t="str">
        <f t="shared" si="19"/>
        <v>Residential_Building Shell_Rim/Band Joist Insulation (Electric Heat)_R_rim</v>
      </c>
      <c r="B761" t="s">
        <v>1165</v>
      </c>
      <c r="C761" t="s">
        <v>1169</v>
      </c>
      <c r="D761" t="s">
        <v>1424</v>
      </c>
      <c r="E761" s="562" t="s">
        <v>1427</v>
      </c>
      <c r="F761" s="572">
        <f>[18]Dashboard_FS!$P$20</f>
        <v>0</v>
      </c>
      <c r="H761" s="559" t="s">
        <v>1425</v>
      </c>
      <c r="I761" s="559" t="s">
        <v>1426</v>
      </c>
      <c r="J761" s="559" t="b">
        <f t="shared" si="18"/>
        <v>1</v>
      </c>
    </row>
    <row r="762" spans="1:10" hidden="1">
      <c r="A762" s="559" t="str">
        <f t="shared" si="19"/>
        <v>Residential_Building Shell_Rim/Band Joist Insulation (Electric Heat)_A_rim</v>
      </c>
      <c r="B762" t="s">
        <v>1165</v>
      </c>
      <c r="C762" t="s">
        <v>1169</v>
      </c>
      <c r="D762" t="s">
        <v>1424</v>
      </c>
      <c r="E762" s="560" t="s">
        <v>1428</v>
      </c>
      <c r="F762" s="571">
        <f>[18]Dashboard_FS!$O$9</f>
        <v>0</v>
      </c>
      <c r="G762" s="559" t="s">
        <v>1361</v>
      </c>
      <c r="H762" s="559" t="s">
        <v>1425</v>
      </c>
      <c r="I762" s="559" t="s">
        <v>1426</v>
      </c>
      <c r="J762" s="559" t="b">
        <f t="shared" si="18"/>
        <v>1</v>
      </c>
    </row>
    <row r="763" spans="1:10" hidden="1">
      <c r="A763" s="559" t="str">
        <f t="shared" si="19"/>
        <v>Residential_Building Shell_Rim/Band Joist Insulation (Electric Heat)_Framing_factor_rim</v>
      </c>
      <c r="B763" t="s">
        <v>1165</v>
      </c>
      <c r="C763" t="s">
        <v>1169</v>
      </c>
      <c r="D763" t="s">
        <v>1424</v>
      </c>
      <c r="E763" s="562" t="s">
        <v>1429</v>
      </c>
      <c r="F763" s="572">
        <v>0.05</v>
      </c>
      <c r="H763" s="559" t="s">
        <v>1425</v>
      </c>
      <c r="I763" s="559" t="s">
        <v>1426</v>
      </c>
      <c r="J763" s="559" t="b">
        <f t="shared" si="18"/>
        <v>0</v>
      </c>
    </row>
    <row r="764" spans="1:10" hidden="1">
      <c r="A764" s="559" t="str">
        <f t="shared" si="19"/>
        <v>Residential_Building Shell_Rim/Band Joist Insulation (Electric Heat)_HDD</v>
      </c>
      <c r="B764" t="s">
        <v>1165</v>
      </c>
      <c r="C764" t="s">
        <v>1169</v>
      </c>
      <c r="D764" t="s">
        <v>1424</v>
      </c>
      <c r="E764" s="562" t="s">
        <v>1380</v>
      </c>
      <c r="F764" s="582" t="e">
        <f>INDEX('[18]CZ Inputs'!G:G,MATCH(A764&amp;"_"&amp;[18]Dashboard_EE!$K$3,'[18]CZ Inputs'!A:A,0))</f>
        <v>#N/A</v>
      </c>
      <c r="G764" s="559" t="s">
        <v>1430</v>
      </c>
      <c r="H764" s="559" t="s">
        <v>1425</v>
      </c>
      <c r="I764" s="559" t="s">
        <v>1426</v>
      </c>
      <c r="J764" s="559" t="b">
        <f t="shared" si="18"/>
        <v>1</v>
      </c>
    </row>
    <row r="765" spans="1:10" hidden="1">
      <c r="A765" s="559" t="str">
        <f t="shared" si="19"/>
        <v>Residential_Building Shell_Rim/Band Joist Insulation (Electric Heat)_24</v>
      </c>
      <c r="B765" t="s">
        <v>1165</v>
      </c>
      <c r="C765" t="s">
        <v>1169</v>
      </c>
      <c r="D765" t="s">
        <v>1424</v>
      </c>
      <c r="E765" s="562">
        <v>24</v>
      </c>
      <c r="F765" s="572">
        <v>24</v>
      </c>
      <c r="H765" s="559" t="s">
        <v>1425</v>
      </c>
      <c r="I765" s="559" t="s">
        <v>1426</v>
      </c>
      <c r="J765" s="559" t="b">
        <f t="shared" si="18"/>
        <v>0</v>
      </c>
    </row>
    <row r="766" spans="1:10" hidden="1">
      <c r="A766" s="559" t="str">
        <f t="shared" si="19"/>
        <v>Residential_Building Shell_Rim/Band Joist Insulation (Electric Heat)_ADJBasementHeat</v>
      </c>
      <c r="B766" t="s">
        <v>1165</v>
      </c>
      <c r="C766" t="s">
        <v>1169</v>
      </c>
      <c r="D766" t="s">
        <v>1424</v>
      </c>
      <c r="E766" s="562" t="s">
        <v>1432</v>
      </c>
      <c r="F766" s="572">
        <v>0.6</v>
      </c>
      <c r="H766" s="559" t="s">
        <v>1425</v>
      </c>
      <c r="I766" s="559" t="s">
        <v>1426</v>
      </c>
      <c r="J766" s="559" t="b">
        <f t="shared" si="18"/>
        <v>0</v>
      </c>
    </row>
    <row r="767" spans="1:10" hidden="1">
      <c r="A767" s="559" t="str">
        <f t="shared" si="19"/>
        <v>Residential_Building Shell_Rim/Band Joist Insulation (Electric Heat)_%GasHeat</v>
      </c>
      <c r="B767" t="s">
        <v>1165</v>
      </c>
      <c r="C767" t="s">
        <v>1169</v>
      </c>
      <c r="D767" t="s">
        <v>1424</v>
      </c>
      <c r="E767" s="562" t="s">
        <v>1410</v>
      </c>
      <c r="F767" s="572">
        <v>0</v>
      </c>
      <c r="G767" s="559" t="s">
        <v>1383</v>
      </c>
      <c r="H767" s="559" t="s">
        <v>1425</v>
      </c>
      <c r="I767" s="559" t="s">
        <v>1426</v>
      </c>
      <c r="J767" s="559" t="b">
        <f t="shared" si="18"/>
        <v>0</v>
      </c>
    </row>
    <row r="768" spans="1:10" hidden="1">
      <c r="A768" s="559" t="str">
        <f t="shared" si="19"/>
        <v>Residential_Building Shell_Rim/Band Joist Insulation (Electric Heat)_ηHeat</v>
      </c>
      <c r="B768" t="s">
        <v>1165</v>
      </c>
      <c r="C768" t="s">
        <v>1169</v>
      </c>
      <c r="D768" t="s">
        <v>1424</v>
      </c>
      <c r="E768" s="560" t="s">
        <v>1381</v>
      </c>
      <c r="F768" s="571" t="e">
        <f>[18]Dashboard_FS!$K$8</f>
        <v>#REF!</v>
      </c>
      <c r="G768" s="559" t="s">
        <v>1187</v>
      </c>
      <c r="H768" s="559" t="s">
        <v>1425</v>
      </c>
      <c r="I768" s="559" t="s">
        <v>1426</v>
      </c>
      <c r="J768" s="559" t="b">
        <f t="shared" si="18"/>
        <v>1</v>
      </c>
    </row>
    <row r="769" spans="1:10" hidden="1">
      <c r="A769" s="559" t="str">
        <f t="shared" si="19"/>
        <v>Residential_Building Shell_Rim/Band Joist Insulation (Electric Heat)_ηHeat_Mid-Life_Adj</v>
      </c>
      <c r="B769" t="s">
        <v>1165</v>
      </c>
      <c r="C769" t="s">
        <v>1169</v>
      </c>
      <c r="D769" t="s">
        <v>1424</v>
      </c>
      <c r="E769" s="560" t="s">
        <v>1382</v>
      </c>
      <c r="F769" s="571" t="e">
        <f>[18]Dashboard_FS!$K$8</f>
        <v>#REF!</v>
      </c>
      <c r="G769" s="559" t="s">
        <v>1187</v>
      </c>
      <c r="H769" s="559" t="s">
        <v>1425</v>
      </c>
      <c r="I769" s="559" t="s">
        <v>1426</v>
      </c>
      <c r="J769" s="559" t="b">
        <f t="shared" si="18"/>
        <v>1</v>
      </c>
    </row>
    <row r="770" spans="1:10" hidden="1">
      <c r="A770" s="559" t="str">
        <f t="shared" si="19"/>
        <v>Residential_Building Shell_Rim/Band Joist Insulation (Electric Heat)_100000</v>
      </c>
      <c r="B770" t="s">
        <v>1165</v>
      </c>
      <c r="C770" t="s">
        <v>1169</v>
      </c>
      <c r="D770" t="s">
        <v>1424</v>
      </c>
      <c r="E770" s="562">
        <v>100000</v>
      </c>
      <c r="F770" s="572">
        <v>100000</v>
      </c>
      <c r="H770" s="559" t="s">
        <v>1425</v>
      </c>
      <c r="I770" s="559" t="s">
        <v>1426</v>
      </c>
      <c r="J770" s="559" t="b">
        <f t="shared" si="18"/>
        <v>0</v>
      </c>
    </row>
    <row r="771" spans="1:10" hidden="1">
      <c r="A771" s="559" t="str">
        <f t="shared" si="19"/>
        <v>Residential_Building Shell_Rim/Band Joist Insulation (Electric Heat)_Delta_Therms</v>
      </c>
      <c r="B771" t="s">
        <v>1165</v>
      </c>
      <c r="C771" t="s">
        <v>1169</v>
      </c>
      <c r="D771" t="s">
        <v>1424</v>
      </c>
      <c r="E771" s="560" t="s">
        <v>1301</v>
      </c>
      <c r="F771" s="571" t="e">
        <f xml:space="preserve"> ((1/ F760 - 1/ F761) *F762 * (1 - F763) * F764 * F765 * F766 * F767) / (F768 * F770)</f>
        <v>#DIV/0!</v>
      </c>
      <c r="H771" s="559" t="s">
        <v>1425</v>
      </c>
      <c r="I771" s="559" t="s">
        <v>1426</v>
      </c>
      <c r="J771" s="559" t="b">
        <f t="shared" si="18"/>
        <v>1</v>
      </c>
    </row>
    <row r="772" spans="1:10" hidden="1">
      <c r="A772" s="559" t="str">
        <f t="shared" si="19"/>
        <v>Residential_Building Shell_Rim/Band Joist Insulation (Electric Heat)_Delta_Therms_Mid-Life_Adj</v>
      </c>
      <c r="B772" t="s">
        <v>1165</v>
      </c>
      <c r="C772" t="s">
        <v>1169</v>
      </c>
      <c r="D772" t="s">
        <v>1424</v>
      </c>
      <c r="E772" s="560" t="s">
        <v>1420</v>
      </c>
      <c r="F772" s="571" t="e">
        <f xml:space="preserve"> ((1/ F760 - 1/ F761) *F762 * (1 - F763) * F764 * F765 * F766 * F767) / (F769 * F770)</f>
        <v>#DIV/0!</v>
      </c>
      <c r="H772" s="559" t="s">
        <v>1425</v>
      </c>
      <c r="I772" s="559" t="s">
        <v>1426</v>
      </c>
      <c r="J772" s="559" t="b">
        <f t="shared" si="18"/>
        <v>1</v>
      </c>
    </row>
    <row r="773" spans="1:10" hidden="1">
      <c r="A773" s="559" t="str">
        <f t="shared" si="19"/>
        <v>Residential_Building Shell_Rim/Band Joist Insulation (Electric Heat)_Remaining Year kWh</v>
      </c>
      <c r="B773" t="s">
        <v>1165</v>
      </c>
      <c r="C773" t="s">
        <v>1169</v>
      </c>
      <c r="D773" t="s">
        <v>1424</v>
      </c>
      <c r="E773" s="568" t="s">
        <v>1394</v>
      </c>
      <c r="F773" s="574" t="e">
        <f>F735+F748+F754</f>
        <v>#DIV/0!</v>
      </c>
      <c r="H773" s="559" t="s">
        <v>1425</v>
      </c>
      <c r="I773" s="559" t="s">
        <v>1426</v>
      </c>
      <c r="J773" s="559" t="b">
        <f t="shared" si="18"/>
        <v>1</v>
      </c>
    </row>
    <row r="774" spans="1:10" hidden="1">
      <c r="A774" s="559" t="str">
        <f t="shared" si="19"/>
        <v>Residential_Building Shell_Rim/Band Joist Insulation (Electric Heat)_kWh Saved per Unit</v>
      </c>
      <c r="B774" t="s">
        <v>1165</v>
      </c>
      <c r="C774" t="s">
        <v>1169</v>
      </c>
      <c r="D774" t="s">
        <v>1424</v>
      </c>
      <c r="E774" s="568" t="s">
        <v>1227</v>
      </c>
      <c r="F774" s="574" t="e">
        <f>F736+F749+F755</f>
        <v>#DIV/0!</v>
      </c>
      <c r="H774" s="559" t="s">
        <v>1425</v>
      </c>
      <c r="I774" s="559" t="s">
        <v>1426</v>
      </c>
      <c r="J774" s="559" t="b">
        <f t="shared" si="18"/>
        <v>1</v>
      </c>
    </row>
    <row r="775" spans="1:10" hidden="1">
      <c r="A775" s="559" t="str">
        <f t="shared" si="19"/>
        <v>Residential_Building Shell_Rim/Band Joist Insulation (Electric Heat)_Remaining Year kW</v>
      </c>
      <c r="B775" t="s">
        <v>1165</v>
      </c>
      <c r="C775" t="s">
        <v>1169</v>
      </c>
      <c r="D775" t="s">
        <v>1424</v>
      </c>
      <c r="E775" s="568" t="s">
        <v>1395</v>
      </c>
      <c r="F775" s="574" t="e">
        <f>F758</f>
        <v>#DIV/0!</v>
      </c>
      <c r="H775" s="559" t="s">
        <v>1425</v>
      </c>
      <c r="I775" s="559" t="s">
        <v>1426</v>
      </c>
      <c r="J775" s="559" t="b">
        <f t="shared" si="18"/>
        <v>1</v>
      </c>
    </row>
    <row r="776" spans="1:10" hidden="1">
      <c r="A776" s="559" t="str">
        <f t="shared" si="19"/>
        <v>Residential_Building Shell_Rim/Band Joist Insulation (Electric Heat)_Coincident Peak kW Saved per Unit</v>
      </c>
      <c r="B776" t="s">
        <v>1165</v>
      </c>
      <c r="C776" t="s">
        <v>1169</v>
      </c>
      <c r="D776" t="s">
        <v>1424</v>
      </c>
      <c r="E776" s="568" t="s">
        <v>1228</v>
      </c>
      <c r="F776" s="574" t="e">
        <f>F759</f>
        <v>#DIV/0!</v>
      </c>
      <c r="H776" s="559" t="s">
        <v>1425</v>
      </c>
      <c r="I776" s="559" t="s">
        <v>1426</v>
      </c>
      <c r="J776" s="559" t="b">
        <f t="shared" si="18"/>
        <v>1</v>
      </c>
    </row>
    <row r="777" spans="1:10" hidden="1">
      <c r="A777" s="559" t="str">
        <f t="shared" si="19"/>
        <v>Residential_Building Shell_Rim/Band Joist Insulation (Electric Heat)_Remaining Year Therms</v>
      </c>
      <c r="B777" t="s">
        <v>1165</v>
      </c>
      <c r="C777" t="s">
        <v>1169</v>
      </c>
      <c r="D777" t="s">
        <v>1424</v>
      </c>
      <c r="E777" s="568" t="s">
        <v>1396</v>
      </c>
      <c r="F777" s="574" t="e">
        <f>F771</f>
        <v>#DIV/0!</v>
      </c>
      <c r="H777" s="559" t="s">
        <v>1425</v>
      </c>
      <c r="I777" s="559" t="s">
        <v>1426</v>
      </c>
      <c r="J777" s="559" t="b">
        <f t="shared" si="18"/>
        <v>1</v>
      </c>
    </row>
    <row r="778" spans="1:10" hidden="1">
      <c r="A778" s="559" t="str">
        <f t="shared" si="19"/>
        <v>Residential_Building Shell_Rim/Band Joist Insulation (Electric Heat)_Therms Saved per Unit</v>
      </c>
      <c r="B778" t="s">
        <v>1165</v>
      </c>
      <c r="C778" t="s">
        <v>1169</v>
      </c>
      <c r="D778" t="s">
        <v>1424</v>
      </c>
      <c r="E778" s="568" t="s">
        <v>1323</v>
      </c>
      <c r="F778" s="574" t="e">
        <f>F772</f>
        <v>#DIV/0!</v>
      </c>
      <c r="H778" s="559" t="s">
        <v>1425</v>
      </c>
      <c r="I778" s="559" t="s">
        <v>1426</v>
      </c>
      <c r="J778" s="559" t="b">
        <f t="shared" si="18"/>
        <v>1</v>
      </c>
    </row>
    <row r="779" spans="1:10" hidden="1">
      <c r="A779" s="559" t="str">
        <f t="shared" si="19"/>
        <v>Residential_Building Shell_Rim/Band Joist Insulation (Electric Heat)_Remaining Life</v>
      </c>
      <c r="B779" t="s">
        <v>1165</v>
      </c>
      <c r="C779" t="s">
        <v>1169</v>
      </c>
      <c r="D779" t="s">
        <v>1424</v>
      </c>
      <c r="E779" s="568" t="s">
        <v>1397</v>
      </c>
      <c r="F779" s="574">
        <v>10</v>
      </c>
      <c r="H779" s="559" t="s">
        <v>1425</v>
      </c>
      <c r="I779" s="559" t="s">
        <v>1426</v>
      </c>
      <c r="J779" s="559" t="b">
        <f t="shared" si="18"/>
        <v>0</v>
      </c>
    </row>
    <row r="780" spans="1:10" hidden="1">
      <c r="A780" s="559" t="str">
        <f t="shared" si="19"/>
        <v>Residential_Building Shell_Rim/Band Joist Insulation (Electric Heat)_Lifetime (years)</v>
      </c>
      <c r="B780" t="s">
        <v>1165</v>
      </c>
      <c r="C780" t="s">
        <v>1169</v>
      </c>
      <c r="D780" t="s">
        <v>1424</v>
      </c>
      <c r="E780" s="568" t="s">
        <v>1231</v>
      </c>
      <c r="F780" s="575">
        <v>30</v>
      </c>
      <c r="H780" s="559" t="s">
        <v>1425</v>
      </c>
      <c r="I780" s="559" t="s">
        <v>1426</v>
      </c>
      <c r="J780" s="559" t="b">
        <f t="shared" si="18"/>
        <v>0</v>
      </c>
    </row>
    <row r="781" spans="1:10" hidden="1">
      <c r="A781" s="559" t="str">
        <f t="shared" si="19"/>
        <v>Residential_Building Shell_Rim/Band Joist Insulation (Electric Heat)_Incremental Cost</v>
      </c>
      <c r="B781" t="s">
        <v>1165</v>
      </c>
      <c r="C781" t="s">
        <v>1169</v>
      </c>
      <c r="D781" t="s">
        <v>1424</v>
      </c>
      <c r="E781" s="568" t="s">
        <v>1232</v>
      </c>
      <c r="F781" s="570">
        <f>1*F725</f>
        <v>0</v>
      </c>
      <c r="G781" s="559" t="s">
        <v>1398</v>
      </c>
      <c r="H781" s="559" t="s">
        <v>1425</v>
      </c>
      <c r="I781" s="559" t="s">
        <v>1426</v>
      </c>
      <c r="J781" s="559" t="b">
        <f t="shared" si="18"/>
        <v>1</v>
      </c>
    </row>
    <row r="782" spans="1:10" hidden="1">
      <c r="A782" s="559" t="str">
        <f t="shared" si="19"/>
        <v>Residential_Building Shell_Rim/Band Joist Insulation (Electric Heat)_BTU Impact_Existing_Fossil Fuel</v>
      </c>
      <c r="B782" t="s">
        <v>1165</v>
      </c>
      <c r="C782" t="s">
        <v>1169</v>
      </c>
      <c r="D782" t="s">
        <v>1424</v>
      </c>
      <c r="E782" s="568" t="s">
        <v>1234</v>
      </c>
      <c r="F782" s="569">
        <v>0</v>
      </c>
      <c r="H782" s="559" t="s">
        <v>1425</v>
      </c>
      <c r="I782" s="559" t="s">
        <v>1426</v>
      </c>
      <c r="J782" s="559" t="b">
        <f t="shared" si="18"/>
        <v>0</v>
      </c>
    </row>
    <row r="783" spans="1:10" hidden="1">
      <c r="A783" s="559" t="str">
        <f t="shared" si="19"/>
        <v>Residential_Building Shell_Rim/Band Joist Insulation (Electric Heat)_BTU Impact_Existing_Winter Electricity</v>
      </c>
      <c r="B783" t="s">
        <v>1165</v>
      </c>
      <c r="C783" t="s">
        <v>1169</v>
      </c>
      <c r="D783" t="s">
        <v>1424</v>
      </c>
      <c r="E783" s="568" t="s">
        <v>1235</v>
      </c>
      <c r="F783" s="569">
        <v>0</v>
      </c>
      <c r="H783" s="559" t="s">
        <v>1425</v>
      </c>
      <c r="I783" s="559" t="s">
        <v>1426</v>
      </c>
      <c r="J783" s="559" t="b">
        <f t="shared" ref="J783:J846" si="20">_xlfn.ISFORMULA(F783)</f>
        <v>0</v>
      </c>
    </row>
    <row r="784" spans="1:10" hidden="1">
      <c r="A784" s="559" t="str">
        <f t="shared" si="19"/>
        <v>Residential_Building Shell_Rim/Band Joist Insulation (Electric Heat)_BTU Impact_Existing_Summer Electricity</v>
      </c>
      <c r="B784" t="s">
        <v>1165</v>
      </c>
      <c r="C784" t="s">
        <v>1169</v>
      </c>
      <c r="D784" t="s">
        <v>1424</v>
      </c>
      <c r="E784" s="568" t="s">
        <v>1236</v>
      </c>
      <c r="F784" s="569">
        <v>0</v>
      </c>
      <c r="H784" s="559" t="s">
        <v>1425</v>
      </c>
      <c r="I784" s="559" t="s">
        <v>1426</v>
      </c>
      <c r="J784" s="559" t="b">
        <f t="shared" si="20"/>
        <v>0</v>
      </c>
    </row>
    <row r="785" spans="1:10" hidden="1">
      <c r="A785" s="559" t="str">
        <f t="shared" si="19"/>
        <v>Residential_Building Shell_Rim/Band Joist Insulation (Electric Heat)_BTU Impact_New_Fossil Fuel</v>
      </c>
      <c r="B785" t="s">
        <v>1165</v>
      </c>
      <c r="C785" t="s">
        <v>1169</v>
      </c>
      <c r="D785" t="s">
        <v>1424</v>
      </c>
      <c r="E785" s="568" t="s">
        <v>1237</v>
      </c>
      <c r="F785" s="569">
        <v>0</v>
      </c>
      <c r="H785" s="559" t="s">
        <v>1425</v>
      </c>
      <c r="I785" s="559" t="s">
        <v>1426</v>
      </c>
      <c r="J785" s="559" t="b">
        <f t="shared" si="20"/>
        <v>0</v>
      </c>
    </row>
    <row r="786" spans="1:10" hidden="1">
      <c r="A786" s="559" t="str">
        <f t="shared" si="19"/>
        <v>Residential_Building Shell_Rim/Band Joist Insulation (Electric Heat)_BTU Impact_New_Winter Electricity</v>
      </c>
      <c r="B786" t="s">
        <v>1165</v>
      </c>
      <c r="C786" t="s">
        <v>1169</v>
      </c>
      <c r="D786" t="s">
        <v>1424</v>
      </c>
      <c r="E786" s="568" t="s">
        <v>1238</v>
      </c>
      <c r="F786" s="569" t="e">
        <f>-F748*3412</f>
        <v>#DIV/0!</v>
      </c>
      <c r="H786" s="559" t="s">
        <v>1425</v>
      </c>
      <c r="I786" s="559" t="s">
        <v>1426</v>
      </c>
      <c r="J786" s="559" t="b">
        <f t="shared" si="20"/>
        <v>1</v>
      </c>
    </row>
    <row r="787" spans="1:10" hidden="1">
      <c r="A787" s="559" t="str">
        <f t="shared" si="19"/>
        <v>Residential_Building Shell_Rim/Band Joist Insulation (Electric Heat)_BTU Impact_New_Summer Electricity</v>
      </c>
      <c r="B787" t="s">
        <v>1165</v>
      </c>
      <c r="C787" t="s">
        <v>1169</v>
      </c>
      <c r="D787" t="s">
        <v>1424</v>
      </c>
      <c r="E787" s="568" t="s">
        <v>1239</v>
      </c>
      <c r="F787" s="569" t="e">
        <f>-F735*3412</f>
        <v>#DIV/0!</v>
      </c>
      <c r="H787" s="559" t="s">
        <v>1425</v>
      </c>
      <c r="I787" s="559" t="s">
        <v>1426</v>
      </c>
      <c r="J787" s="559" t="b">
        <f t="shared" si="20"/>
        <v>1</v>
      </c>
    </row>
    <row r="788" spans="1:10" hidden="1">
      <c r="A788" s="559" t="str">
        <f t="shared" si="19"/>
        <v>Residential_Building Shell_Rim/Band Joist Insulation (Electric Heat)_</v>
      </c>
      <c r="B788" t="s">
        <v>1165</v>
      </c>
      <c r="C788" t="s">
        <v>1169</v>
      </c>
      <c r="D788" t="s">
        <v>1424</v>
      </c>
      <c r="H788" s="559" t="s">
        <v>1425</v>
      </c>
      <c r="I788" s="559" t="s">
        <v>1426</v>
      </c>
      <c r="J788" s="559" t="b">
        <f t="shared" si="20"/>
        <v>0</v>
      </c>
    </row>
    <row r="789" spans="1:10" hidden="1">
      <c r="A789" s="559" t="str">
        <f t="shared" si="19"/>
        <v>Residential_Building Shell_Basement Sidewall Insulation (Electric Heat)_R_old_AG</v>
      </c>
      <c r="B789" t="s">
        <v>1165</v>
      </c>
      <c r="C789" t="s">
        <v>1169</v>
      </c>
      <c r="D789" t="s">
        <v>1433</v>
      </c>
      <c r="E789" s="562" t="s">
        <v>1434</v>
      </c>
      <c r="F789" s="572">
        <f>[18]Dashboard_FS!$O$21</f>
        <v>1</v>
      </c>
      <c r="G789" s="559" t="s">
        <v>1291</v>
      </c>
      <c r="H789" s="559" t="s">
        <v>1435</v>
      </c>
      <c r="I789" s="559" t="s">
        <v>1436</v>
      </c>
      <c r="J789" s="559" t="b">
        <f t="shared" si="20"/>
        <v>1</v>
      </c>
    </row>
    <row r="790" spans="1:10" hidden="1">
      <c r="A790" s="559" t="str">
        <f t="shared" si="19"/>
        <v>Residential_Building Shell_Basement Sidewall Insulation (Electric Heat)_R_added</v>
      </c>
      <c r="B790" t="s">
        <v>1165</v>
      </c>
      <c r="C790" t="s">
        <v>1169</v>
      </c>
      <c r="D790" t="s">
        <v>1433</v>
      </c>
      <c r="E790" s="562" t="s">
        <v>1437</v>
      </c>
      <c r="F790" s="572">
        <f>[18]Dashboard_FS!$P$21</f>
        <v>0</v>
      </c>
      <c r="G790" s="559" t="s">
        <v>1438</v>
      </c>
      <c r="H790" s="559" t="s">
        <v>1435</v>
      </c>
      <c r="I790" s="559" t="s">
        <v>1436</v>
      </c>
      <c r="J790" s="559" t="b">
        <f t="shared" si="20"/>
        <v>1</v>
      </c>
    </row>
    <row r="791" spans="1:10" hidden="1">
      <c r="A791" s="559" t="str">
        <f t="shared" si="19"/>
        <v>Residential_Building Shell_Basement Sidewall Insulation (Electric Heat)_R_old_AG</v>
      </c>
      <c r="B791" t="s">
        <v>1165</v>
      </c>
      <c r="C791" t="s">
        <v>1169</v>
      </c>
      <c r="D791" t="s">
        <v>1433</v>
      </c>
      <c r="E791" s="562" t="s">
        <v>1434</v>
      </c>
      <c r="F791" s="572">
        <f>[18]Dashboard_FS!$O$21</f>
        <v>1</v>
      </c>
      <c r="G791" s="559" t="s">
        <v>1291</v>
      </c>
      <c r="H791" s="559" t="s">
        <v>1435</v>
      </c>
      <c r="I791" s="559" t="s">
        <v>1436</v>
      </c>
      <c r="J791" s="559" t="b">
        <f t="shared" si="20"/>
        <v>1</v>
      </c>
    </row>
    <row r="792" spans="1:10" hidden="1">
      <c r="A792" s="559" t="str">
        <f t="shared" si="19"/>
        <v>Residential_Building Shell_Basement Sidewall Insulation (Electric Heat)_L_basement_wall_total</v>
      </c>
      <c r="B792" t="s">
        <v>1165</v>
      </c>
      <c r="C792" t="s">
        <v>1169</v>
      </c>
      <c r="D792" t="s">
        <v>1433</v>
      </c>
      <c r="E792" s="560" t="s">
        <v>1439</v>
      </c>
      <c r="F792" s="571">
        <f>[18]Dashboard_FS!$O$10</f>
        <v>0</v>
      </c>
      <c r="G792" s="559" t="s">
        <v>1361</v>
      </c>
      <c r="H792" s="559" t="s">
        <v>1435</v>
      </c>
      <c r="I792" s="559" t="s">
        <v>1436</v>
      </c>
      <c r="J792" s="559" t="b">
        <f t="shared" si="20"/>
        <v>1</v>
      </c>
    </row>
    <row r="793" spans="1:10" hidden="1">
      <c r="A793" s="559" t="str">
        <f t="shared" si="19"/>
        <v>Residential_Building Shell_Basement Sidewall Insulation (Electric Heat)_H_basement_wall_AG</v>
      </c>
      <c r="B793" t="s">
        <v>1165</v>
      </c>
      <c r="C793" t="s">
        <v>1169</v>
      </c>
      <c r="D793" t="s">
        <v>1433</v>
      </c>
      <c r="E793" s="560" t="s">
        <v>1440</v>
      </c>
      <c r="F793" s="571">
        <f>[18]Dashboard_FS!$O$11</f>
        <v>1</v>
      </c>
      <c r="G793" s="559" t="s">
        <v>1438</v>
      </c>
      <c r="H793" s="559" t="s">
        <v>1435</v>
      </c>
      <c r="I793" s="559" t="s">
        <v>1436</v>
      </c>
      <c r="J793" s="559" t="b">
        <f t="shared" si="20"/>
        <v>1</v>
      </c>
    </row>
    <row r="794" spans="1:10" hidden="1">
      <c r="A794" s="559" t="str">
        <f t="shared" si="19"/>
        <v>Residential_Building Shell_Basement Sidewall Insulation (Electric Heat)_Framing_factor</v>
      </c>
      <c r="B794" t="s">
        <v>1165</v>
      </c>
      <c r="C794" t="s">
        <v>1169</v>
      </c>
      <c r="D794" t="s">
        <v>1433</v>
      </c>
      <c r="E794" s="562" t="s">
        <v>1441</v>
      </c>
      <c r="F794" s="572">
        <v>0.25</v>
      </c>
      <c r="G794" s="559" t="s">
        <v>1442</v>
      </c>
      <c r="H794" s="559" t="s">
        <v>1435</v>
      </c>
      <c r="I794" s="559" t="s">
        <v>1436</v>
      </c>
      <c r="J794" s="559" t="b">
        <f t="shared" si="20"/>
        <v>0</v>
      </c>
    </row>
    <row r="795" spans="1:10" hidden="1">
      <c r="A795" s="559" t="str">
        <f t="shared" si="19"/>
        <v>Residential_Building Shell_Basement Sidewall Insulation (Electric Heat)_24</v>
      </c>
      <c r="B795" t="s">
        <v>1165</v>
      </c>
      <c r="C795" t="s">
        <v>1169</v>
      </c>
      <c r="D795" t="s">
        <v>1433</v>
      </c>
      <c r="E795" s="562">
        <v>24</v>
      </c>
      <c r="F795" s="572">
        <v>24</v>
      </c>
      <c r="H795" s="559" t="s">
        <v>1435</v>
      </c>
      <c r="I795" s="559" t="s">
        <v>1436</v>
      </c>
      <c r="J795" s="559" t="b">
        <f t="shared" si="20"/>
        <v>0</v>
      </c>
    </row>
    <row r="796" spans="1:10" hidden="1">
      <c r="A796" s="559" t="str">
        <f t="shared" si="19"/>
        <v>Residential_Building Shell_Basement Sidewall Insulation (Electric Heat)_CDD</v>
      </c>
      <c r="B796" t="s">
        <v>1165</v>
      </c>
      <c r="C796" t="s">
        <v>1169</v>
      </c>
      <c r="D796" t="s">
        <v>1433</v>
      </c>
      <c r="E796" s="562" t="s">
        <v>1368</v>
      </c>
      <c r="F796" s="582" t="e">
        <f>INDEX('[18]CZ Inputs'!G:G,MATCH(A796&amp;"_"&amp;[18]Dashboard_EE!$K$3,'[18]CZ Inputs'!A:A,0))</f>
        <v>#N/A</v>
      </c>
      <c r="G796" s="559" t="s">
        <v>1430</v>
      </c>
      <c r="H796" s="559" t="s">
        <v>1435</v>
      </c>
      <c r="I796" s="559" t="s">
        <v>1436</v>
      </c>
      <c r="J796" s="559" t="b">
        <f t="shared" si="20"/>
        <v>1</v>
      </c>
    </row>
    <row r="797" spans="1:10" hidden="1">
      <c r="A797" s="559" t="str">
        <f t="shared" si="19"/>
        <v>Residential_Building Shell_Basement Sidewall Insulation (Electric Heat)_DUA</v>
      </c>
      <c r="B797" t="s">
        <v>1165</v>
      </c>
      <c r="C797" t="s">
        <v>1169</v>
      </c>
      <c r="D797" t="s">
        <v>1433</v>
      </c>
      <c r="E797" s="562" t="s">
        <v>1370</v>
      </c>
      <c r="F797" s="572">
        <v>0.75</v>
      </c>
      <c r="H797" s="559" t="s">
        <v>1435</v>
      </c>
      <c r="I797" s="559" t="s">
        <v>1436</v>
      </c>
      <c r="J797" s="559" t="b">
        <f t="shared" si="20"/>
        <v>0</v>
      </c>
    </row>
    <row r="798" spans="1:10" hidden="1">
      <c r="A798" s="559" t="str">
        <f t="shared" si="19"/>
        <v>Residential_Building Shell_Basement Sidewall Insulation (Electric Heat)_1000</v>
      </c>
      <c r="B798" t="s">
        <v>1165</v>
      </c>
      <c r="C798" t="s">
        <v>1169</v>
      </c>
      <c r="D798" t="s">
        <v>1433</v>
      </c>
      <c r="E798" s="562">
        <v>1000</v>
      </c>
      <c r="F798" s="572">
        <v>1000</v>
      </c>
      <c r="H798" s="559" t="s">
        <v>1435</v>
      </c>
      <c r="I798" s="559" t="s">
        <v>1436</v>
      </c>
      <c r="J798" s="559" t="b">
        <f t="shared" si="20"/>
        <v>0</v>
      </c>
    </row>
    <row r="799" spans="1:10" hidden="1">
      <c r="A799" s="559" t="str">
        <f t="shared" si="19"/>
        <v>Residential_Building Shell_Basement Sidewall Insulation (Electric Heat)_ηCool</v>
      </c>
      <c r="B799" t="s">
        <v>1165</v>
      </c>
      <c r="C799" t="s">
        <v>1169</v>
      </c>
      <c r="D799" t="s">
        <v>1433</v>
      </c>
      <c r="E799" s="560" t="s">
        <v>1371</v>
      </c>
      <c r="F799" s="571" t="e">
        <f>[18]Dashboard_FS!$K$13</f>
        <v>#REF!</v>
      </c>
      <c r="G799" s="559" t="s">
        <v>1187</v>
      </c>
      <c r="H799" s="559" t="s">
        <v>1435</v>
      </c>
      <c r="I799" s="559" t="s">
        <v>1436</v>
      </c>
      <c r="J799" s="559" t="b">
        <f t="shared" si="20"/>
        <v>1</v>
      </c>
    </row>
    <row r="800" spans="1:10" hidden="1">
      <c r="A800" s="559" t="str">
        <f t="shared" si="19"/>
        <v>Residential_Building Shell_Basement Sidewall Insulation (Electric Heat)_ηCool_Mid-Life_Adj</v>
      </c>
      <c r="B800" t="s">
        <v>1165</v>
      </c>
      <c r="C800" t="s">
        <v>1169</v>
      </c>
      <c r="D800" t="s">
        <v>1433</v>
      </c>
      <c r="E800" s="560" t="s">
        <v>1372</v>
      </c>
      <c r="F800" s="571" t="e">
        <f>[18]Dashboard_FS!$K$13</f>
        <v>#REF!</v>
      </c>
      <c r="G800" s="559" t="s">
        <v>1187</v>
      </c>
      <c r="H800" s="559" t="s">
        <v>1435</v>
      </c>
      <c r="I800" s="559" t="s">
        <v>1436</v>
      </c>
      <c r="J800" s="559" t="b">
        <f t="shared" si="20"/>
        <v>1</v>
      </c>
    </row>
    <row r="801" spans="1:10" hidden="1">
      <c r="A801" s="559" t="str">
        <f t="shared" si="19"/>
        <v>Residential_Building Shell_Basement Sidewall Insulation (Electric Heat)_ADJBasementCool</v>
      </c>
      <c r="B801" t="s">
        <v>1165</v>
      </c>
      <c r="C801" t="s">
        <v>1169</v>
      </c>
      <c r="D801" t="s">
        <v>1433</v>
      </c>
      <c r="E801" s="562" t="s">
        <v>1431</v>
      </c>
      <c r="F801" s="582">
        <v>0.75</v>
      </c>
      <c r="H801" s="559" t="s">
        <v>1435</v>
      </c>
      <c r="I801" s="559" t="s">
        <v>1436</v>
      </c>
      <c r="J801" s="559" t="b">
        <f t="shared" si="20"/>
        <v>0</v>
      </c>
    </row>
    <row r="802" spans="1:10" hidden="1">
      <c r="A802" s="559" t="str">
        <f t="shared" si="19"/>
        <v>Residential_Building Shell_Basement Sidewall Insulation (Electric Heat)_%Cool</v>
      </c>
      <c r="B802" t="s">
        <v>1165</v>
      </c>
      <c r="C802" t="s">
        <v>1169</v>
      </c>
      <c r="D802" t="s">
        <v>1433</v>
      </c>
      <c r="E802" s="562" t="s">
        <v>1344</v>
      </c>
      <c r="F802" s="572">
        <v>1</v>
      </c>
      <c r="H802" s="559" t="s">
        <v>1435</v>
      </c>
      <c r="I802" s="559" t="s">
        <v>1436</v>
      </c>
      <c r="J802" s="559" t="b">
        <f t="shared" si="20"/>
        <v>0</v>
      </c>
    </row>
    <row r="803" spans="1:10" hidden="1">
      <c r="A803" s="559" t="str">
        <f t="shared" si="19"/>
        <v>Residential_Building Shell_Basement Sidewall Insulation (Electric Heat)_Delta_kWh_cooling</v>
      </c>
      <c r="B803" t="s">
        <v>1165</v>
      </c>
      <c r="C803" t="s">
        <v>1169</v>
      </c>
      <c r="D803" t="s">
        <v>1433</v>
      </c>
      <c r="E803" s="560" t="s">
        <v>1377</v>
      </c>
      <c r="F803" s="571" t="e">
        <f xml:space="preserve"> ((((1/ F789 - 1/ (F790 + F791)) * F792 * F793 * (1 - F794)) * F795 * F796 * F797) / (F798 * F799)) * F801 * F802</f>
        <v>#N/A</v>
      </c>
      <c r="H803" s="559" t="s">
        <v>1435</v>
      </c>
      <c r="I803" s="559" t="s">
        <v>1436</v>
      </c>
      <c r="J803" s="559" t="b">
        <f t="shared" si="20"/>
        <v>1</v>
      </c>
    </row>
    <row r="804" spans="1:10" hidden="1">
      <c r="A804" s="559" t="str">
        <f t="shared" si="19"/>
        <v>Residential_Building Shell_Basement Sidewall Insulation (Electric Heat)_Delta_kWh_cooling_Mid-Life_Adj</v>
      </c>
      <c r="B804" t="s">
        <v>1165</v>
      </c>
      <c r="C804" t="s">
        <v>1169</v>
      </c>
      <c r="D804" t="s">
        <v>1433</v>
      </c>
      <c r="E804" s="560" t="s">
        <v>1378</v>
      </c>
      <c r="F804" s="571" t="e">
        <f xml:space="preserve"> ((((1/ F789 - 1/ (F790 + F791)) * F792 * F793 * (1 - F794)) * F795 * F796 * F797) / (F798 * F800)) * F801 * F802</f>
        <v>#N/A</v>
      </c>
      <c r="H804" s="559" t="s">
        <v>1435</v>
      </c>
      <c r="I804" s="559" t="s">
        <v>1436</v>
      </c>
      <c r="J804" s="559" t="b">
        <f t="shared" si="20"/>
        <v>1</v>
      </c>
    </row>
    <row r="805" spans="1:10" hidden="1">
      <c r="A805" s="559" t="str">
        <f t="shared" si="19"/>
        <v>Residential_Building Shell_Basement Sidewall Insulation (Electric Heat)_R_old_AG</v>
      </c>
      <c r="B805" t="s">
        <v>1165</v>
      </c>
      <c r="C805" t="s">
        <v>1169</v>
      </c>
      <c r="D805" t="s">
        <v>1433</v>
      </c>
      <c r="E805" s="562" t="s">
        <v>1434</v>
      </c>
      <c r="F805" s="572">
        <f>[18]Dashboard_FS!$O$21</f>
        <v>1</v>
      </c>
      <c r="G805" s="559" t="s">
        <v>1291</v>
      </c>
      <c r="H805" s="559" t="s">
        <v>1435</v>
      </c>
      <c r="I805" s="559" t="s">
        <v>1436</v>
      </c>
      <c r="J805" s="559" t="b">
        <f t="shared" si="20"/>
        <v>1</v>
      </c>
    </row>
    <row r="806" spans="1:10" hidden="1">
      <c r="A806" s="559" t="str">
        <f t="shared" si="19"/>
        <v>Residential_Building Shell_Basement Sidewall Insulation (Electric Heat)_R_added</v>
      </c>
      <c r="B806" t="s">
        <v>1165</v>
      </c>
      <c r="C806" t="s">
        <v>1169</v>
      </c>
      <c r="D806" t="s">
        <v>1433</v>
      </c>
      <c r="E806" s="562" t="s">
        <v>1437</v>
      </c>
      <c r="F806" s="572">
        <f>[18]Dashboard_FS!$P$21</f>
        <v>0</v>
      </c>
      <c r="G806" s="559" t="s">
        <v>1438</v>
      </c>
      <c r="H806" s="559" t="s">
        <v>1435</v>
      </c>
      <c r="I806" s="559" t="s">
        <v>1436</v>
      </c>
      <c r="J806" s="559" t="b">
        <f t="shared" si="20"/>
        <v>1</v>
      </c>
    </row>
    <row r="807" spans="1:10" hidden="1">
      <c r="A807" s="559" t="str">
        <f t="shared" si="19"/>
        <v>Residential_Building Shell_Basement Sidewall Insulation (Electric Heat)_R_old_AG</v>
      </c>
      <c r="B807" t="s">
        <v>1165</v>
      </c>
      <c r="C807" t="s">
        <v>1169</v>
      </c>
      <c r="D807" t="s">
        <v>1433</v>
      </c>
      <c r="E807" s="562" t="s">
        <v>1434</v>
      </c>
      <c r="F807" s="572">
        <f>[18]Dashboard_FS!$O$21</f>
        <v>1</v>
      </c>
      <c r="G807" s="559" t="s">
        <v>1291</v>
      </c>
      <c r="H807" s="559" t="s">
        <v>1435</v>
      </c>
      <c r="I807" s="559" t="s">
        <v>1436</v>
      </c>
      <c r="J807" s="559" t="b">
        <f t="shared" si="20"/>
        <v>1</v>
      </c>
    </row>
    <row r="808" spans="1:10" hidden="1">
      <c r="A808" s="559" t="str">
        <f t="shared" si="19"/>
        <v>Residential_Building Shell_Basement Sidewall Insulation (Electric Heat)_L_basement_wall_total</v>
      </c>
      <c r="B808" t="s">
        <v>1165</v>
      </c>
      <c r="C808" t="s">
        <v>1169</v>
      </c>
      <c r="D808" t="s">
        <v>1433</v>
      </c>
      <c r="E808" s="560" t="s">
        <v>1439</v>
      </c>
      <c r="F808" s="571">
        <f>[18]Dashboard_FS!$O$10</f>
        <v>0</v>
      </c>
      <c r="G808" s="559" t="s">
        <v>1361</v>
      </c>
      <c r="H808" s="559" t="s">
        <v>1435</v>
      </c>
      <c r="I808" s="559" t="s">
        <v>1436</v>
      </c>
      <c r="J808" s="559" t="b">
        <f t="shared" si="20"/>
        <v>1</v>
      </c>
    </row>
    <row r="809" spans="1:10" hidden="1">
      <c r="A809" s="559" t="str">
        <f t="shared" si="19"/>
        <v>Residential_Building Shell_Basement Sidewall Insulation (Electric Heat)_H_basement_wall_AG</v>
      </c>
      <c r="B809" t="s">
        <v>1165</v>
      </c>
      <c r="C809" t="s">
        <v>1169</v>
      </c>
      <c r="D809" t="s">
        <v>1433</v>
      </c>
      <c r="E809" s="560" t="s">
        <v>1440</v>
      </c>
      <c r="F809" s="571">
        <f>[18]Dashboard_FS!$O$11</f>
        <v>1</v>
      </c>
      <c r="G809" s="559" t="s">
        <v>1438</v>
      </c>
      <c r="H809" s="559" t="s">
        <v>1435</v>
      </c>
      <c r="I809" s="559" t="s">
        <v>1436</v>
      </c>
      <c r="J809" s="559" t="b">
        <f t="shared" si="20"/>
        <v>1</v>
      </c>
    </row>
    <row r="810" spans="1:10" hidden="1">
      <c r="A810" s="559" t="str">
        <f t="shared" si="19"/>
        <v>Residential_Building Shell_Basement Sidewall Insulation (Electric Heat)_Framing_factor</v>
      </c>
      <c r="B810" t="s">
        <v>1165</v>
      </c>
      <c r="C810" t="s">
        <v>1169</v>
      </c>
      <c r="D810" t="s">
        <v>1433</v>
      </c>
      <c r="E810" s="562" t="s">
        <v>1441</v>
      </c>
      <c r="F810" s="572">
        <v>0.25</v>
      </c>
      <c r="G810" s="559" t="s">
        <v>1442</v>
      </c>
      <c r="H810" s="559" t="s">
        <v>1435</v>
      </c>
      <c r="I810" s="559" t="s">
        <v>1436</v>
      </c>
      <c r="J810" s="559" t="b">
        <f t="shared" si="20"/>
        <v>0</v>
      </c>
    </row>
    <row r="811" spans="1:10" hidden="1">
      <c r="A811" s="559" t="str">
        <f t="shared" si="19"/>
        <v>Residential_Building Shell_Basement Sidewall Insulation (Electric Heat)_R_old_BG</v>
      </c>
      <c r="B811" t="s">
        <v>1165</v>
      </c>
      <c r="C811" t="s">
        <v>1169</v>
      </c>
      <c r="D811" t="s">
        <v>1433</v>
      </c>
      <c r="E811" s="562" t="s">
        <v>1443</v>
      </c>
      <c r="F811" s="572">
        <v>7.42</v>
      </c>
      <c r="G811" s="559" t="s">
        <v>1444</v>
      </c>
      <c r="H811" s="559" t="s">
        <v>1435</v>
      </c>
      <c r="I811" s="559" t="s">
        <v>1436</v>
      </c>
      <c r="J811" s="559" t="b">
        <f t="shared" si="20"/>
        <v>0</v>
      </c>
    </row>
    <row r="812" spans="1:10" hidden="1">
      <c r="A812" s="559" t="str">
        <f t="shared" si="19"/>
        <v>Residential_Building Shell_Basement Sidewall Insulation (Electric Heat)_R_added</v>
      </c>
      <c r="B812" t="s">
        <v>1165</v>
      </c>
      <c r="C812" t="s">
        <v>1169</v>
      </c>
      <c r="D812" t="s">
        <v>1433</v>
      </c>
      <c r="E812" s="562" t="s">
        <v>1437</v>
      </c>
      <c r="F812" s="572">
        <f>[18]Dashboard_FS!$P$21</f>
        <v>0</v>
      </c>
      <c r="G812" s="559" t="s">
        <v>1438</v>
      </c>
      <c r="H812" s="559" t="s">
        <v>1435</v>
      </c>
      <c r="I812" s="559" t="s">
        <v>1436</v>
      </c>
      <c r="J812" s="559" t="b">
        <f t="shared" si="20"/>
        <v>1</v>
      </c>
    </row>
    <row r="813" spans="1:10" hidden="1">
      <c r="A813" s="559" t="str">
        <f t="shared" si="19"/>
        <v>Residential_Building Shell_Basement Sidewall Insulation (Electric Heat)_R_old_BG</v>
      </c>
      <c r="B813" t="s">
        <v>1165</v>
      </c>
      <c r="C813" t="s">
        <v>1169</v>
      </c>
      <c r="D813" t="s">
        <v>1433</v>
      </c>
      <c r="E813" s="562" t="s">
        <v>1443</v>
      </c>
      <c r="F813" s="572">
        <v>7.42</v>
      </c>
      <c r="G813" s="559" t="s">
        <v>1444</v>
      </c>
      <c r="H813" s="559" t="s">
        <v>1435</v>
      </c>
      <c r="I813" s="559" t="s">
        <v>1436</v>
      </c>
      <c r="J813" s="559" t="b">
        <f t="shared" si="20"/>
        <v>0</v>
      </c>
    </row>
    <row r="814" spans="1:10" hidden="1">
      <c r="A814" s="559" t="str">
        <f t="shared" si="19"/>
        <v>Residential_Building Shell_Basement Sidewall Insulation (Electric Heat)_L_basement_wall_total</v>
      </c>
      <c r="B814" t="s">
        <v>1165</v>
      </c>
      <c r="C814" t="s">
        <v>1169</v>
      </c>
      <c r="D814" t="s">
        <v>1433</v>
      </c>
      <c r="E814" s="560" t="s">
        <v>1439</v>
      </c>
      <c r="F814" s="571">
        <f>[18]Dashboard_FS!$O$10</f>
        <v>0</v>
      </c>
      <c r="G814" s="559" t="s">
        <v>1361</v>
      </c>
      <c r="H814" s="559" t="s">
        <v>1435</v>
      </c>
      <c r="I814" s="559" t="s">
        <v>1436</v>
      </c>
      <c r="J814" s="559" t="b">
        <f t="shared" si="20"/>
        <v>1</v>
      </c>
    </row>
    <row r="815" spans="1:10" hidden="1">
      <c r="A815" s="559" t="str">
        <f t="shared" si="19"/>
        <v>Residential_Building Shell_Basement Sidewall Insulation (Electric Heat)_H_basement_wall_total</v>
      </c>
      <c r="B815" t="s">
        <v>1165</v>
      </c>
      <c r="C815" t="s">
        <v>1169</v>
      </c>
      <c r="D815" t="s">
        <v>1433</v>
      </c>
      <c r="E815" s="560" t="s">
        <v>1445</v>
      </c>
      <c r="F815" s="571">
        <f>[18]Dashboard_FS!$O$12</f>
        <v>3</v>
      </c>
      <c r="G815" s="559" t="s">
        <v>1438</v>
      </c>
      <c r="H815" s="559" t="s">
        <v>1435</v>
      </c>
      <c r="I815" s="559" t="s">
        <v>1436</v>
      </c>
      <c r="J815" s="559" t="b">
        <f t="shared" si="20"/>
        <v>1</v>
      </c>
    </row>
    <row r="816" spans="1:10" hidden="1">
      <c r="A816" s="559" t="str">
        <f t="shared" si="19"/>
        <v>Residential_Building Shell_Basement Sidewall Insulation (Electric Heat)_H_basement_wall_AG</v>
      </c>
      <c r="B816" t="s">
        <v>1165</v>
      </c>
      <c r="C816" t="s">
        <v>1169</v>
      </c>
      <c r="D816" t="s">
        <v>1433</v>
      </c>
      <c r="E816" s="560" t="s">
        <v>1440</v>
      </c>
      <c r="F816" s="571">
        <f>[18]Dashboard_FS!$O$11</f>
        <v>1</v>
      </c>
      <c r="G816" s="559" t="s">
        <v>1438</v>
      </c>
      <c r="H816" s="559" t="s">
        <v>1435</v>
      </c>
      <c r="I816" s="559" t="s">
        <v>1436</v>
      </c>
      <c r="J816" s="559" t="b">
        <f t="shared" si="20"/>
        <v>1</v>
      </c>
    </row>
    <row r="817" spans="1:10" hidden="1">
      <c r="A817" s="559" t="str">
        <f t="shared" si="19"/>
        <v>Residential_Building Shell_Basement Sidewall Insulation (Electric Heat)_Framing_factor</v>
      </c>
      <c r="B817" t="s">
        <v>1165</v>
      </c>
      <c r="C817" t="s">
        <v>1169</v>
      </c>
      <c r="D817" t="s">
        <v>1433</v>
      </c>
      <c r="E817" s="562" t="s">
        <v>1441</v>
      </c>
      <c r="F817" s="572">
        <v>0.25</v>
      </c>
      <c r="G817" s="559" t="s">
        <v>1442</v>
      </c>
      <c r="H817" s="559" t="s">
        <v>1435</v>
      </c>
      <c r="I817" s="559" t="s">
        <v>1436</v>
      </c>
      <c r="J817" s="559" t="b">
        <f t="shared" si="20"/>
        <v>0</v>
      </c>
    </row>
    <row r="818" spans="1:10" hidden="1">
      <c r="A818" s="559" t="str">
        <f t="shared" si="19"/>
        <v>Residential_Building Shell_Basement Sidewall Insulation (Electric Heat)_24</v>
      </c>
      <c r="B818" t="s">
        <v>1165</v>
      </c>
      <c r="C818" t="s">
        <v>1169</v>
      </c>
      <c r="D818" t="s">
        <v>1433</v>
      </c>
      <c r="E818" s="562">
        <v>24</v>
      </c>
      <c r="F818" s="572">
        <v>24</v>
      </c>
      <c r="H818" s="559" t="s">
        <v>1435</v>
      </c>
      <c r="I818" s="559" t="s">
        <v>1436</v>
      </c>
      <c r="J818" s="559" t="b">
        <f t="shared" si="20"/>
        <v>0</v>
      </c>
    </row>
    <row r="819" spans="1:10" hidden="1">
      <c r="A819" s="559" t="str">
        <f t="shared" si="19"/>
        <v>Residential_Building Shell_Basement Sidewall Insulation (Electric Heat)_HDD</v>
      </c>
      <c r="B819" t="s">
        <v>1165</v>
      </c>
      <c r="C819" t="s">
        <v>1169</v>
      </c>
      <c r="D819" t="s">
        <v>1433</v>
      </c>
      <c r="E819" s="562" t="s">
        <v>1380</v>
      </c>
      <c r="F819" s="582" t="e">
        <f>INDEX('[18]CZ Inputs'!G:G,MATCH(A819&amp;"_"&amp;[18]Dashboard_EE!$K$3,'[18]CZ Inputs'!A:A,0))</f>
        <v>#N/A</v>
      </c>
      <c r="G819" s="559" t="s">
        <v>1430</v>
      </c>
      <c r="H819" s="559" t="s">
        <v>1435</v>
      </c>
      <c r="I819" s="559" t="s">
        <v>1436</v>
      </c>
      <c r="J819" s="559" t="b">
        <f t="shared" si="20"/>
        <v>1</v>
      </c>
    </row>
    <row r="820" spans="1:10" hidden="1">
      <c r="A820" s="559" t="str">
        <f t="shared" si="19"/>
        <v>Residential_Building Shell_Basement Sidewall Insulation (Electric Heat)_3412</v>
      </c>
      <c r="B820" t="s">
        <v>1165</v>
      </c>
      <c r="C820" t="s">
        <v>1169</v>
      </c>
      <c r="D820" t="s">
        <v>1433</v>
      </c>
      <c r="E820" s="562">
        <v>3412</v>
      </c>
      <c r="F820" s="572">
        <v>3412</v>
      </c>
      <c r="H820" s="559" t="s">
        <v>1435</v>
      </c>
      <c r="I820" s="559" t="s">
        <v>1436</v>
      </c>
      <c r="J820" s="559" t="b">
        <f t="shared" si="20"/>
        <v>0</v>
      </c>
    </row>
    <row r="821" spans="1:10" hidden="1">
      <c r="A821" s="559" t="str">
        <f t="shared" si="19"/>
        <v>Residential_Building Shell_Basement Sidewall Insulation (Electric Heat)_ηHeat</v>
      </c>
      <c r="B821" t="s">
        <v>1165</v>
      </c>
      <c r="C821" t="s">
        <v>1169</v>
      </c>
      <c r="D821" t="s">
        <v>1433</v>
      </c>
      <c r="E821" s="560" t="s">
        <v>1381</v>
      </c>
      <c r="F821" s="571" t="e">
        <f>[18]Dashboard_FS!$K$6</f>
        <v>#REF!</v>
      </c>
      <c r="G821" s="559" t="s">
        <v>1187</v>
      </c>
      <c r="H821" s="559" t="s">
        <v>1435</v>
      </c>
      <c r="I821" s="559" t="s">
        <v>1436</v>
      </c>
      <c r="J821" s="559" t="b">
        <f t="shared" si="20"/>
        <v>1</v>
      </c>
    </row>
    <row r="822" spans="1:10" hidden="1">
      <c r="A822" s="559" t="str">
        <f t="shared" si="19"/>
        <v>Residential_Building Shell_Basement Sidewall Insulation (Electric Heat)_ηHeat_Mid-Life_Adj</v>
      </c>
      <c r="B822" t="s">
        <v>1165</v>
      </c>
      <c r="C822" t="s">
        <v>1169</v>
      </c>
      <c r="D822" t="s">
        <v>1433</v>
      </c>
      <c r="E822" s="560" t="s">
        <v>1382</v>
      </c>
      <c r="F822" s="571" t="e">
        <f>[18]Dashboard_FS!$K$6</f>
        <v>#REF!</v>
      </c>
      <c r="G822" s="559" t="s">
        <v>1187</v>
      </c>
      <c r="H822" s="559" t="s">
        <v>1435</v>
      </c>
      <c r="I822" s="559" t="s">
        <v>1436</v>
      </c>
      <c r="J822" s="559" t="b">
        <f t="shared" si="20"/>
        <v>1</v>
      </c>
    </row>
    <row r="823" spans="1:10" hidden="1">
      <c r="A823" s="559" t="str">
        <f t="shared" si="19"/>
        <v>Residential_Building Shell_Basement Sidewall Insulation (Electric Heat)_ADJBasementHeat</v>
      </c>
      <c r="B823" t="s">
        <v>1165</v>
      </c>
      <c r="C823" t="s">
        <v>1169</v>
      </c>
      <c r="D823" t="s">
        <v>1433</v>
      </c>
      <c r="E823" s="562" t="s">
        <v>1432</v>
      </c>
      <c r="F823" s="572">
        <v>0.6</v>
      </c>
      <c r="H823" s="559" t="s">
        <v>1435</v>
      </c>
      <c r="I823" s="559" t="s">
        <v>1436</v>
      </c>
      <c r="J823" s="559" t="b">
        <f t="shared" si="20"/>
        <v>0</v>
      </c>
    </row>
    <row r="824" spans="1:10" hidden="1">
      <c r="A824" s="559" t="str">
        <f t="shared" ref="A824:A887" si="21">B824&amp;"_"&amp;C824&amp;"_"&amp;D824&amp;"_"&amp;E824</f>
        <v>Residential_Building Shell_Basement Sidewall Insulation (Electric Heat)_%ElectricHeat</v>
      </c>
      <c r="B824" t="s">
        <v>1165</v>
      </c>
      <c r="C824" t="s">
        <v>1169</v>
      </c>
      <c r="D824" t="s">
        <v>1433</v>
      </c>
      <c r="E824" s="562" t="s">
        <v>1349</v>
      </c>
      <c r="F824" s="572">
        <v>1</v>
      </c>
      <c r="G824" s="559" t="s">
        <v>1383</v>
      </c>
      <c r="H824" s="559" t="s">
        <v>1435</v>
      </c>
      <c r="I824" s="559" t="s">
        <v>1436</v>
      </c>
      <c r="J824" s="559" t="b">
        <f t="shared" si="20"/>
        <v>0</v>
      </c>
    </row>
    <row r="825" spans="1:10" hidden="1">
      <c r="A825" s="559" t="str">
        <f t="shared" si="21"/>
        <v>Residential_Building Shell_Basement Sidewall Insulation (Electric Heat)_Delta_kWh_heatingElectric</v>
      </c>
      <c r="B825" t="s">
        <v>1165</v>
      </c>
      <c r="C825" t="s">
        <v>1169</v>
      </c>
      <c r="D825" t="s">
        <v>1433</v>
      </c>
      <c r="E825" s="560" t="s">
        <v>1384</v>
      </c>
      <c r="F825" s="571" t="e">
        <f xml:space="preserve"> ((((1/ F805 - 1/ (F806 + F807)) * F808 * F809 * (1 - F810)) + (((1/ F811 - 1/ (F812 + F813)) * F814 * (F815 - F816) * (1 - F817))) * F818 * F819) / (F820 * F821)) * F823 * F824</f>
        <v>#N/A</v>
      </c>
      <c r="H825" s="559" t="s">
        <v>1435</v>
      </c>
      <c r="I825" s="559" t="s">
        <v>1436</v>
      </c>
      <c r="J825" s="559" t="b">
        <f t="shared" si="20"/>
        <v>1</v>
      </c>
    </row>
    <row r="826" spans="1:10" hidden="1">
      <c r="A826" s="559" t="str">
        <f t="shared" si="21"/>
        <v>Residential_Building Shell_Basement Sidewall Insulation (Electric Heat)_Delta_kWh_heatingElectric_Mid-Life_Adj</v>
      </c>
      <c r="B826" t="s">
        <v>1165</v>
      </c>
      <c r="C826" t="s">
        <v>1169</v>
      </c>
      <c r="D826" t="s">
        <v>1433</v>
      </c>
      <c r="E826" s="560" t="s">
        <v>1385</v>
      </c>
      <c r="F826" s="571" t="e">
        <f xml:space="preserve"> ((((1/ F805 - 1/ (F806 + F807)) * F808 * F809 * (1 - F810)) + (((1/ F811 - 1/ (F812 + F813)) * F814 * (F815 - F816) * (1 - F817))) * F818 * F819) / (F820 * F822)) * F823 * F824</f>
        <v>#N/A</v>
      </c>
      <c r="H826" s="559" t="s">
        <v>1435</v>
      </c>
      <c r="I826" s="559" t="s">
        <v>1436</v>
      </c>
      <c r="J826" s="559" t="b">
        <f t="shared" si="20"/>
        <v>1</v>
      </c>
    </row>
    <row r="827" spans="1:10" hidden="1">
      <c r="A827" s="559" t="str">
        <f t="shared" si="21"/>
        <v>Residential_Building Shell_Basement Sidewall Insulation (Electric Heat)_Delta_Therms</v>
      </c>
      <c r="B827" t="s">
        <v>1165</v>
      </c>
      <c r="C827" t="s">
        <v>1169</v>
      </c>
      <c r="D827" t="s">
        <v>1433</v>
      </c>
      <c r="E827" s="560" t="s">
        <v>1301</v>
      </c>
      <c r="F827" s="571" t="e">
        <f>F857</f>
        <v>#N/A</v>
      </c>
      <c r="H827" s="559" t="s">
        <v>1435</v>
      </c>
      <c r="I827" s="559" t="s">
        <v>1436</v>
      </c>
      <c r="J827" s="559" t="b">
        <f t="shared" si="20"/>
        <v>1</v>
      </c>
    </row>
    <row r="828" spans="1:10" hidden="1">
      <c r="A828" s="559" t="str">
        <f t="shared" si="21"/>
        <v>Residential_Building Shell_Basement Sidewall Insulation (Electric Heat)_Delta_Therms_Mid-Life_Adj</v>
      </c>
      <c r="B828" t="s">
        <v>1165</v>
      </c>
      <c r="C828" t="s">
        <v>1169</v>
      </c>
      <c r="D828" t="s">
        <v>1433</v>
      </c>
      <c r="E828" s="560" t="s">
        <v>1420</v>
      </c>
      <c r="F828" s="571" t="e">
        <f>F858</f>
        <v>#N/A</v>
      </c>
      <c r="H828" s="559" t="s">
        <v>1435</v>
      </c>
      <c r="I828" s="559" t="s">
        <v>1436</v>
      </c>
      <c r="J828" s="559" t="b">
        <f t="shared" si="20"/>
        <v>1</v>
      </c>
    </row>
    <row r="829" spans="1:10" hidden="1">
      <c r="A829" s="559" t="str">
        <f t="shared" si="21"/>
        <v>Residential_Building Shell_Basement Sidewall Insulation (Electric Heat)_Fe</v>
      </c>
      <c r="B829" t="s">
        <v>1165</v>
      </c>
      <c r="C829" t="s">
        <v>1169</v>
      </c>
      <c r="D829" t="s">
        <v>1433</v>
      </c>
      <c r="E829" s="562" t="s">
        <v>1198</v>
      </c>
      <c r="F829" s="572">
        <v>3.1399999999999997E-2</v>
      </c>
      <c r="H829" s="559" t="s">
        <v>1435</v>
      </c>
      <c r="I829" s="559" t="s">
        <v>1436</v>
      </c>
      <c r="J829" s="559" t="b">
        <f t="shared" si="20"/>
        <v>0</v>
      </c>
    </row>
    <row r="830" spans="1:10" hidden="1">
      <c r="A830" s="559" t="str">
        <f t="shared" si="21"/>
        <v>Residential_Building Shell_Basement Sidewall Insulation (Electric Heat)_29.3</v>
      </c>
      <c r="B830" t="s">
        <v>1165</v>
      </c>
      <c r="C830" t="s">
        <v>1169</v>
      </c>
      <c r="D830" t="s">
        <v>1433</v>
      </c>
      <c r="E830" s="562">
        <v>29.3</v>
      </c>
      <c r="F830" s="572">
        <v>29.3</v>
      </c>
      <c r="H830" s="559" t="s">
        <v>1435</v>
      </c>
      <c r="I830" s="559" t="s">
        <v>1436</v>
      </c>
      <c r="J830" s="559" t="b">
        <f t="shared" si="20"/>
        <v>0</v>
      </c>
    </row>
    <row r="831" spans="1:10" hidden="1">
      <c r="A831" s="559" t="str">
        <f t="shared" si="21"/>
        <v>Residential_Building Shell_Basement Sidewall Insulation (Electric Heat)_Delta_kWh_heatingGas</v>
      </c>
      <c r="B831" t="s">
        <v>1165</v>
      </c>
      <c r="C831" t="s">
        <v>1169</v>
      </c>
      <c r="D831" t="s">
        <v>1433</v>
      </c>
      <c r="E831" s="560" t="s">
        <v>1387</v>
      </c>
      <c r="F831" s="571" t="e">
        <f>F827*F829*F830</f>
        <v>#N/A</v>
      </c>
      <c r="H831" s="559" t="s">
        <v>1435</v>
      </c>
      <c r="I831" s="559" t="s">
        <v>1436</v>
      </c>
      <c r="J831" s="559" t="b">
        <f t="shared" si="20"/>
        <v>1</v>
      </c>
    </row>
    <row r="832" spans="1:10" hidden="1">
      <c r="A832" s="559" t="str">
        <f t="shared" si="21"/>
        <v>Residential_Building Shell_Basement Sidewall Insulation (Electric Heat)_Delta_kWh_heatingGas_Mid-Life_Adj</v>
      </c>
      <c r="B832" t="s">
        <v>1165</v>
      </c>
      <c r="C832" t="s">
        <v>1169</v>
      </c>
      <c r="D832" t="s">
        <v>1433</v>
      </c>
      <c r="E832" s="560" t="s">
        <v>1388</v>
      </c>
      <c r="F832" s="571" t="e">
        <f>F828*F829*F830</f>
        <v>#N/A</v>
      </c>
      <c r="H832" s="559" t="s">
        <v>1435</v>
      </c>
      <c r="I832" s="559" t="s">
        <v>1436</v>
      </c>
      <c r="J832" s="559" t="b">
        <f t="shared" si="20"/>
        <v>1</v>
      </c>
    </row>
    <row r="833" spans="1:10" hidden="1">
      <c r="A833" s="559" t="str">
        <f t="shared" si="21"/>
        <v>Residential_Building Shell_Basement Sidewall Insulation (Electric Heat)_FLH_cooling</v>
      </c>
      <c r="B833" t="s">
        <v>1165</v>
      </c>
      <c r="C833" t="s">
        <v>1169</v>
      </c>
      <c r="D833" t="s">
        <v>1433</v>
      </c>
      <c r="E833" s="562" t="s">
        <v>1389</v>
      </c>
      <c r="F833" s="582" t="e">
        <f>INDEX('[18]CZ Inputs'!G:G,MATCH(A833&amp;"_"&amp;[18]Dashboard_EE!$K$3,'[18]CZ Inputs'!A:A,0))</f>
        <v>#N/A</v>
      </c>
      <c r="G833" s="559" t="s">
        <v>1369</v>
      </c>
      <c r="H833" s="559" t="s">
        <v>1435</v>
      </c>
      <c r="I833" s="559" t="s">
        <v>1436</v>
      </c>
      <c r="J833" s="559" t="b">
        <f t="shared" si="20"/>
        <v>1</v>
      </c>
    </row>
    <row r="834" spans="1:10" hidden="1">
      <c r="A834" s="559" t="str">
        <f t="shared" si="21"/>
        <v>Residential_Building Shell_Basement Sidewall Insulation (Electric Heat)_CF</v>
      </c>
      <c r="B834" t="s">
        <v>1165</v>
      </c>
      <c r="C834" t="s">
        <v>1169</v>
      </c>
      <c r="D834" t="s">
        <v>1433</v>
      </c>
      <c r="E834" s="562" t="s">
        <v>1224</v>
      </c>
      <c r="F834" s="572">
        <v>0.68</v>
      </c>
      <c r="G834" s="559" t="s">
        <v>1266</v>
      </c>
      <c r="H834" s="559" t="s">
        <v>1435</v>
      </c>
      <c r="I834" s="559" t="s">
        <v>1436</v>
      </c>
      <c r="J834" s="559" t="b">
        <f t="shared" si="20"/>
        <v>0</v>
      </c>
    </row>
    <row r="835" spans="1:10" hidden="1">
      <c r="A835" s="559" t="str">
        <f t="shared" si="21"/>
        <v>Residential_Building Shell_Basement Sidewall Insulation (Electric Heat)_Delta_kW</v>
      </c>
      <c r="B835" t="s">
        <v>1165</v>
      </c>
      <c r="C835" t="s">
        <v>1169</v>
      </c>
      <c r="D835" t="s">
        <v>1433</v>
      </c>
      <c r="E835" s="560" t="s">
        <v>1226</v>
      </c>
      <c r="F835" s="571" t="e">
        <f>(F803/F833)*F834</f>
        <v>#N/A</v>
      </c>
      <c r="H835" s="559" t="s">
        <v>1435</v>
      </c>
      <c r="I835" s="559" t="s">
        <v>1436</v>
      </c>
      <c r="J835" s="559" t="b">
        <f t="shared" si="20"/>
        <v>1</v>
      </c>
    </row>
    <row r="836" spans="1:10" hidden="1">
      <c r="A836" s="559" t="str">
        <f t="shared" si="21"/>
        <v>Residential_Building Shell_Basement Sidewall Insulation (Electric Heat)_Delta_kW_Mid-Life_Adj</v>
      </c>
      <c r="B836" t="s">
        <v>1165</v>
      </c>
      <c r="C836" t="s">
        <v>1169</v>
      </c>
      <c r="D836" t="s">
        <v>1433</v>
      </c>
      <c r="E836" s="560" t="s">
        <v>1390</v>
      </c>
      <c r="F836" s="571" t="e">
        <f>(F804/F833)*F834</f>
        <v>#N/A</v>
      </c>
      <c r="H836" s="559" t="s">
        <v>1435</v>
      </c>
      <c r="I836" s="559" t="s">
        <v>1436</v>
      </c>
      <c r="J836" s="559" t="b">
        <f t="shared" si="20"/>
        <v>1</v>
      </c>
    </row>
    <row r="837" spans="1:10" hidden="1">
      <c r="A837" s="559" t="str">
        <f t="shared" si="21"/>
        <v>Residential_Building Shell_Basement Sidewall Insulation (Electric Heat)_R_old_AG</v>
      </c>
      <c r="B837" t="s">
        <v>1165</v>
      </c>
      <c r="C837" t="s">
        <v>1169</v>
      </c>
      <c r="D837" t="s">
        <v>1433</v>
      </c>
      <c r="E837" s="562" t="s">
        <v>1434</v>
      </c>
      <c r="F837" s="572">
        <f>[18]Dashboard_FS!$O$21</f>
        <v>1</v>
      </c>
      <c r="G837" s="559" t="s">
        <v>1291</v>
      </c>
      <c r="H837" s="559" t="s">
        <v>1435</v>
      </c>
      <c r="I837" s="559" t="s">
        <v>1436</v>
      </c>
      <c r="J837" s="559" t="b">
        <f t="shared" si="20"/>
        <v>1</v>
      </c>
    </row>
    <row r="838" spans="1:10" hidden="1">
      <c r="A838" s="559" t="str">
        <f t="shared" si="21"/>
        <v>Residential_Building Shell_Basement Sidewall Insulation (Electric Heat)_R_added</v>
      </c>
      <c r="B838" t="s">
        <v>1165</v>
      </c>
      <c r="C838" t="s">
        <v>1169</v>
      </c>
      <c r="D838" t="s">
        <v>1433</v>
      </c>
      <c r="E838" s="562" t="s">
        <v>1437</v>
      </c>
      <c r="F838" s="572">
        <f>[18]Dashboard_FS!$P$21</f>
        <v>0</v>
      </c>
      <c r="G838" s="559" t="s">
        <v>1438</v>
      </c>
      <c r="H838" s="559" t="s">
        <v>1435</v>
      </c>
      <c r="I838" s="559" t="s">
        <v>1436</v>
      </c>
      <c r="J838" s="559" t="b">
        <f t="shared" si="20"/>
        <v>1</v>
      </c>
    </row>
    <row r="839" spans="1:10" hidden="1">
      <c r="A839" s="559" t="str">
        <f t="shared" si="21"/>
        <v>Residential_Building Shell_Basement Sidewall Insulation (Electric Heat)_R_old_AG</v>
      </c>
      <c r="B839" t="s">
        <v>1165</v>
      </c>
      <c r="C839" t="s">
        <v>1169</v>
      </c>
      <c r="D839" t="s">
        <v>1433</v>
      </c>
      <c r="E839" s="562" t="s">
        <v>1434</v>
      </c>
      <c r="F839" s="572">
        <f>[18]Dashboard_FS!$O$21</f>
        <v>1</v>
      </c>
      <c r="G839" s="559" t="s">
        <v>1291</v>
      </c>
      <c r="H839" s="559" t="s">
        <v>1435</v>
      </c>
      <c r="I839" s="559" t="s">
        <v>1436</v>
      </c>
      <c r="J839" s="559" t="b">
        <f t="shared" si="20"/>
        <v>1</v>
      </c>
    </row>
    <row r="840" spans="1:10" hidden="1">
      <c r="A840" s="559" t="str">
        <f t="shared" si="21"/>
        <v>Residential_Building Shell_Basement Sidewall Insulation (Electric Heat)_L_basement_wall_total</v>
      </c>
      <c r="B840" t="s">
        <v>1165</v>
      </c>
      <c r="C840" t="s">
        <v>1169</v>
      </c>
      <c r="D840" t="s">
        <v>1433</v>
      </c>
      <c r="E840" s="560" t="s">
        <v>1439</v>
      </c>
      <c r="F840" s="571">
        <f>[18]Dashboard_FS!$O$10</f>
        <v>0</v>
      </c>
      <c r="G840" s="559" t="s">
        <v>1361</v>
      </c>
      <c r="H840" s="559" t="s">
        <v>1435</v>
      </c>
      <c r="I840" s="559" t="s">
        <v>1436</v>
      </c>
      <c r="J840" s="559" t="b">
        <f t="shared" si="20"/>
        <v>1</v>
      </c>
    </row>
    <row r="841" spans="1:10" hidden="1">
      <c r="A841" s="559" t="str">
        <f t="shared" si="21"/>
        <v>Residential_Building Shell_Basement Sidewall Insulation (Electric Heat)_H_basement_wall_AG</v>
      </c>
      <c r="B841" t="s">
        <v>1165</v>
      </c>
      <c r="C841" t="s">
        <v>1169</v>
      </c>
      <c r="D841" t="s">
        <v>1433</v>
      </c>
      <c r="E841" s="560" t="s">
        <v>1440</v>
      </c>
      <c r="F841" s="571">
        <f>[18]Dashboard_FS!$O$11</f>
        <v>1</v>
      </c>
      <c r="G841" s="559" t="s">
        <v>1438</v>
      </c>
      <c r="H841" s="559" t="s">
        <v>1435</v>
      </c>
      <c r="I841" s="559" t="s">
        <v>1436</v>
      </c>
      <c r="J841" s="559" t="b">
        <f t="shared" si="20"/>
        <v>1</v>
      </c>
    </row>
    <row r="842" spans="1:10" hidden="1">
      <c r="A842" s="559" t="str">
        <f t="shared" si="21"/>
        <v>Residential_Building Shell_Basement Sidewall Insulation (Electric Heat)_Framing_factor</v>
      </c>
      <c r="B842" t="s">
        <v>1165</v>
      </c>
      <c r="C842" t="s">
        <v>1169</v>
      </c>
      <c r="D842" t="s">
        <v>1433</v>
      </c>
      <c r="E842" s="562" t="s">
        <v>1441</v>
      </c>
      <c r="F842" s="572">
        <v>0.25</v>
      </c>
      <c r="G842" s="559" t="s">
        <v>1442</v>
      </c>
      <c r="H842" s="559" t="s">
        <v>1435</v>
      </c>
      <c r="I842" s="559" t="s">
        <v>1436</v>
      </c>
      <c r="J842" s="559" t="b">
        <f t="shared" si="20"/>
        <v>0</v>
      </c>
    </row>
    <row r="843" spans="1:10" hidden="1">
      <c r="A843" s="559" t="str">
        <f t="shared" si="21"/>
        <v>Residential_Building Shell_Basement Sidewall Insulation (Electric Heat)_R_old_BG</v>
      </c>
      <c r="B843" t="s">
        <v>1165</v>
      </c>
      <c r="C843" t="s">
        <v>1169</v>
      </c>
      <c r="D843" t="s">
        <v>1433</v>
      </c>
      <c r="E843" s="562" t="s">
        <v>1443</v>
      </c>
      <c r="F843" s="572">
        <v>7.42</v>
      </c>
      <c r="G843" s="559" t="s">
        <v>1444</v>
      </c>
      <c r="H843" s="559" t="s">
        <v>1435</v>
      </c>
      <c r="I843" s="559" t="s">
        <v>1436</v>
      </c>
      <c r="J843" s="559" t="b">
        <f t="shared" si="20"/>
        <v>0</v>
      </c>
    </row>
    <row r="844" spans="1:10" hidden="1">
      <c r="A844" s="559" t="str">
        <f t="shared" si="21"/>
        <v>Residential_Building Shell_Basement Sidewall Insulation (Electric Heat)_R_added</v>
      </c>
      <c r="B844" t="s">
        <v>1165</v>
      </c>
      <c r="C844" t="s">
        <v>1169</v>
      </c>
      <c r="D844" t="s">
        <v>1433</v>
      </c>
      <c r="E844" s="562" t="s">
        <v>1437</v>
      </c>
      <c r="F844" s="572">
        <f>[18]Dashboard_FS!$P$21</f>
        <v>0</v>
      </c>
      <c r="G844" s="559" t="s">
        <v>1438</v>
      </c>
      <c r="H844" s="559" t="s">
        <v>1435</v>
      </c>
      <c r="I844" s="559" t="s">
        <v>1436</v>
      </c>
      <c r="J844" s="559" t="b">
        <f t="shared" si="20"/>
        <v>1</v>
      </c>
    </row>
    <row r="845" spans="1:10" hidden="1">
      <c r="A845" s="559" t="str">
        <f t="shared" si="21"/>
        <v>Residential_Building Shell_Basement Sidewall Insulation (Electric Heat)_R_old_BG</v>
      </c>
      <c r="B845" t="s">
        <v>1165</v>
      </c>
      <c r="C845" t="s">
        <v>1169</v>
      </c>
      <c r="D845" t="s">
        <v>1433</v>
      </c>
      <c r="E845" s="562" t="s">
        <v>1443</v>
      </c>
      <c r="F845" s="572">
        <v>7.42</v>
      </c>
      <c r="G845" s="559" t="s">
        <v>1444</v>
      </c>
      <c r="H845" s="559" t="s">
        <v>1435</v>
      </c>
      <c r="I845" s="559" t="s">
        <v>1436</v>
      </c>
      <c r="J845" s="559" t="b">
        <f t="shared" si="20"/>
        <v>0</v>
      </c>
    </row>
    <row r="846" spans="1:10" hidden="1">
      <c r="A846" s="559" t="str">
        <f t="shared" si="21"/>
        <v>Residential_Building Shell_Basement Sidewall Insulation (Electric Heat)_L_basement_wall_total</v>
      </c>
      <c r="B846" t="s">
        <v>1165</v>
      </c>
      <c r="C846" t="s">
        <v>1169</v>
      </c>
      <c r="D846" t="s">
        <v>1433</v>
      </c>
      <c r="E846" s="560" t="s">
        <v>1439</v>
      </c>
      <c r="F846" s="571">
        <f>[18]Dashboard_FS!$O$10</f>
        <v>0</v>
      </c>
      <c r="G846" s="559" t="s">
        <v>1361</v>
      </c>
      <c r="H846" s="559" t="s">
        <v>1435</v>
      </c>
      <c r="I846" s="559" t="s">
        <v>1436</v>
      </c>
      <c r="J846" s="559" t="b">
        <f t="shared" si="20"/>
        <v>1</v>
      </c>
    </row>
    <row r="847" spans="1:10" hidden="1">
      <c r="A847" s="559" t="str">
        <f t="shared" si="21"/>
        <v>Residential_Building Shell_Basement Sidewall Insulation (Electric Heat)_H_basement_wall_total</v>
      </c>
      <c r="B847" t="s">
        <v>1165</v>
      </c>
      <c r="C847" t="s">
        <v>1169</v>
      </c>
      <c r="D847" t="s">
        <v>1433</v>
      </c>
      <c r="E847" s="560" t="s">
        <v>1445</v>
      </c>
      <c r="F847" s="571">
        <f>[18]Dashboard_FS!$O$12</f>
        <v>3</v>
      </c>
      <c r="G847" s="559" t="s">
        <v>1438</v>
      </c>
      <c r="H847" s="559" t="s">
        <v>1435</v>
      </c>
      <c r="I847" s="559" t="s">
        <v>1436</v>
      </c>
      <c r="J847" s="559" t="b">
        <f t="shared" ref="J847:J910" si="22">_xlfn.ISFORMULA(F847)</f>
        <v>1</v>
      </c>
    </row>
    <row r="848" spans="1:10" hidden="1">
      <c r="A848" s="559" t="str">
        <f t="shared" si="21"/>
        <v>Residential_Building Shell_Basement Sidewall Insulation (Electric Heat)_H_basement_wall_AG</v>
      </c>
      <c r="B848" t="s">
        <v>1165</v>
      </c>
      <c r="C848" t="s">
        <v>1169</v>
      </c>
      <c r="D848" t="s">
        <v>1433</v>
      </c>
      <c r="E848" s="560" t="s">
        <v>1440</v>
      </c>
      <c r="F848" s="571">
        <f>[18]Dashboard_FS!$O$11</f>
        <v>1</v>
      </c>
      <c r="G848" s="559" t="s">
        <v>1438</v>
      </c>
      <c r="H848" s="559" t="s">
        <v>1435</v>
      </c>
      <c r="I848" s="559" t="s">
        <v>1436</v>
      </c>
      <c r="J848" s="559" t="b">
        <f t="shared" si="22"/>
        <v>1</v>
      </c>
    </row>
    <row r="849" spans="1:10" hidden="1">
      <c r="A849" s="559" t="str">
        <f t="shared" si="21"/>
        <v>Residential_Building Shell_Basement Sidewall Insulation (Electric Heat)_Framing_factor</v>
      </c>
      <c r="B849" t="s">
        <v>1165</v>
      </c>
      <c r="C849" t="s">
        <v>1169</v>
      </c>
      <c r="D849" t="s">
        <v>1433</v>
      </c>
      <c r="E849" s="562" t="s">
        <v>1441</v>
      </c>
      <c r="F849" s="572">
        <v>0.25</v>
      </c>
      <c r="G849" s="559" t="s">
        <v>1442</v>
      </c>
      <c r="H849" s="559" t="s">
        <v>1435</v>
      </c>
      <c r="I849" s="559" t="s">
        <v>1436</v>
      </c>
      <c r="J849" s="559" t="b">
        <f t="shared" si="22"/>
        <v>0</v>
      </c>
    </row>
    <row r="850" spans="1:10" hidden="1">
      <c r="A850" s="559" t="str">
        <f t="shared" si="21"/>
        <v>Residential_Building Shell_Basement Sidewall Insulation (Electric Heat)_24</v>
      </c>
      <c r="B850" t="s">
        <v>1165</v>
      </c>
      <c r="C850" t="s">
        <v>1169</v>
      </c>
      <c r="D850" t="s">
        <v>1433</v>
      </c>
      <c r="E850" s="562">
        <v>24</v>
      </c>
      <c r="F850" s="572">
        <v>24</v>
      </c>
      <c r="H850" s="559" t="s">
        <v>1435</v>
      </c>
      <c r="I850" s="559" t="s">
        <v>1436</v>
      </c>
      <c r="J850" s="559" t="b">
        <f t="shared" si="22"/>
        <v>0</v>
      </c>
    </row>
    <row r="851" spans="1:10" hidden="1">
      <c r="A851" s="559" t="str">
        <f t="shared" si="21"/>
        <v>Residential_Building Shell_Basement Sidewall Insulation (Electric Heat)_HDD</v>
      </c>
      <c r="B851" t="s">
        <v>1165</v>
      </c>
      <c r="C851" t="s">
        <v>1169</v>
      </c>
      <c r="D851" t="s">
        <v>1433</v>
      </c>
      <c r="E851" s="562" t="s">
        <v>1380</v>
      </c>
      <c r="F851" s="582" t="e">
        <f>INDEX('[18]CZ Inputs'!G:G,MATCH(A851&amp;"_"&amp;[18]Dashboard_EE!$K$3,'[18]CZ Inputs'!A:A,0))</f>
        <v>#N/A</v>
      </c>
      <c r="G851" s="559" t="s">
        <v>1430</v>
      </c>
      <c r="H851" s="559" t="s">
        <v>1435</v>
      </c>
      <c r="I851" s="559" t="s">
        <v>1436</v>
      </c>
      <c r="J851" s="559" t="b">
        <f t="shared" si="22"/>
        <v>1</v>
      </c>
    </row>
    <row r="852" spans="1:10" hidden="1">
      <c r="A852" s="559" t="str">
        <f t="shared" si="21"/>
        <v>Residential_Building Shell_Basement Sidewall Insulation (Electric Heat)_ηHeat</v>
      </c>
      <c r="B852" t="s">
        <v>1165</v>
      </c>
      <c r="C852" t="s">
        <v>1169</v>
      </c>
      <c r="D852" t="s">
        <v>1433</v>
      </c>
      <c r="E852" s="560" t="s">
        <v>1381</v>
      </c>
      <c r="F852" s="571" t="e">
        <f>[18]Dashboard_FS!$K$8</f>
        <v>#REF!</v>
      </c>
      <c r="G852" s="559" t="s">
        <v>1187</v>
      </c>
      <c r="H852" s="559" t="s">
        <v>1435</v>
      </c>
      <c r="I852" s="559" t="s">
        <v>1436</v>
      </c>
      <c r="J852" s="559" t="b">
        <f t="shared" si="22"/>
        <v>1</v>
      </c>
    </row>
    <row r="853" spans="1:10" hidden="1">
      <c r="A853" s="559" t="str">
        <f t="shared" si="21"/>
        <v>Residential_Building Shell_Basement Sidewall Insulation (Electric Heat)_ηHeat_Mid-Life_Adj</v>
      </c>
      <c r="B853" t="s">
        <v>1165</v>
      </c>
      <c r="C853" t="s">
        <v>1169</v>
      </c>
      <c r="D853" t="s">
        <v>1433</v>
      </c>
      <c r="E853" s="560" t="s">
        <v>1382</v>
      </c>
      <c r="F853" s="571" t="e">
        <f>[18]Dashboard_FS!$K$8</f>
        <v>#REF!</v>
      </c>
      <c r="G853" s="559" t="s">
        <v>1187</v>
      </c>
      <c r="H853" s="559" t="s">
        <v>1435</v>
      </c>
      <c r="I853" s="559" t="s">
        <v>1436</v>
      </c>
      <c r="J853" s="559" t="b">
        <f t="shared" si="22"/>
        <v>1</v>
      </c>
    </row>
    <row r="854" spans="1:10" hidden="1">
      <c r="A854" s="559" t="str">
        <f t="shared" si="21"/>
        <v>Residential_Building Shell_Basement Sidewall Insulation (Electric Heat)_100000</v>
      </c>
      <c r="B854" t="s">
        <v>1165</v>
      </c>
      <c r="C854" t="s">
        <v>1169</v>
      </c>
      <c r="D854" t="s">
        <v>1433</v>
      </c>
      <c r="E854" s="562">
        <v>100000</v>
      </c>
      <c r="F854" s="572">
        <v>100000</v>
      </c>
      <c r="H854" s="559" t="s">
        <v>1435</v>
      </c>
      <c r="I854" s="559" t="s">
        <v>1436</v>
      </c>
      <c r="J854" s="559" t="b">
        <f t="shared" si="22"/>
        <v>0</v>
      </c>
    </row>
    <row r="855" spans="1:10" hidden="1">
      <c r="A855" s="559" t="str">
        <f t="shared" si="21"/>
        <v>Residential_Building Shell_Basement Sidewall Insulation (Electric Heat)_ADJBasementHeat</v>
      </c>
      <c r="B855" t="s">
        <v>1165</v>
      </c>
      <c r="C855" t="s">
        <v>1169</v>
      </c>
      <c r="D855" t="s">
        <v>1433</v>
      </c>
      <c r="E855" s="562" t="s">
        <v>1432</v>
      </c>
      <c r="F855" s="582">
        <v>0.63</v>
      </c>
      <c r="H855" s="559" t="s">
        <v>1435</v>
      </c>
      <c r="I855" s="559" t="s">
        <v>1436</v>
      </c>
      <c r="J855" s="559" t="b">
        <f t="shared" si="22"/>
        <v>0</v>
      </c>
    </row>
    <row r="856" spans="1:10" hidden="1">
      <c r="A856" s="559" t="str">
        <f t="shared" si="21"/>
        <v>Residential_Building Shell_Basement Sidewall Insulation (Electric Heat)_%GasHeat</v>
      </c>
      <c r="B856" t="s">
        <v>1165</v>
      </c>
      <c r="C856" t="s">
        <v>1169</v>
      </c>
      <c r="D856" t="s">
        <v>1433</v>
      </c>
      <c r="E856" s="562" t="s">
        <v>1410</v>
      </c>
      <c r="F856" s="572">
        <v>0</v>
      </c>
      <c r="G856" s="559" t="s">
        <v>1383</v>
      </c>
      <c r="H856" s="559" t="s">
        <v>1435</v>
      </c>
      <c r="I856" s="559" t="s">
        <v>1436</v>
      </c>
      <c r="J856" s="559" t="b">
        <f t="shared" si="22"/>
        <v>0</v>
      </c>
    </row>
    <row r="857" spans="1:10" hidden="1">
      <c r="A857" s="559" t="str">
        <f t="shared" si="21"/>
        <v>Residential_Building Shell_Basement Sidewall Insulation (Electric Heat)_Delta_Therms</v>
      </c>
      <c r="B857" t="s">
        <v>1165</v>
      </c>
      <c r="C857" t="s">
        <v>1169</v>
      </c>
      <c r="D857" t="s">
        <v>1433</v>
      </c>
      <c r="E857" s="560" t="s">
        <v>1301</v>
      </c>
      <c r="F857" s="571" t="e">
        <f xml:space="preserve"> (((((1/ F837 - 1/ (F838 + F839)) * F840 * F841 * (1 - F842)) + ((1/ F843 - 1/ (F844 + F845)) * F846 * (F847 - F848) * (1 - F849))) * F850 * F851) / (F852 * F854)) * F855 * F856</f>
        <v>#N/A</v>
      </c>
      <c r="H857" s="559" t="s">
        <v>1435</v>
      </c>
      <c r="I857" s="559" t="s">
        <v>1436</v>
      </c>
      <c r="J857" s="559" t="b">
        <f t="shared" si="22"/>
        <v>1</v>
      </c>
    </row>
    <row r="858" spans="1:10" hidden="1">
      <c r="A858" s="559" t="str">
        <f t="shared" si="21"/>
        <v>Residential_Building Shell_Basement Sidewall Insulation (Electric Heat)_Delta_Therms_Mid-Life_Adj</v>
      </c>
      <c r="B858" t="s">
        <v>1165</v>
      </c>
      <c r="C858" t="s">
        <v>1169</v>
      </c>
      <c r="D858" t="s">
        <v>1433</v>
      </c>
      <c r="E858" s="560" t="s">
        <v>1420</v>
      </c>
      <c r="F858" s="571" t="e">
        <f xml:space="preserve"> (((((1/ F837 - 1/ (F838 + F839)) * F840 * F841 * (1 - F842)) + ((1/ F843 - 1/ (F844 + F845)) * F846 * (F847 - F848) * (1 - F849))) * F850 * F851) / (F853 * F854)) * F855 * F856</f>
        <v>#N/A</v>
      </c>
      <c r="H858" s="559" t="s">
        <v>1435</v>
      </c>
      <c r="I858" s="559" t="s">
        <v>1436</v>
      </c>
      <c r="J858" s="559" t="b">
        <f t="shared" si="22"/>
        <v>1</v>
      </c>
    </row>
    <row r="859" spans="1:10" hidden="1">
      <c r="A859" s="559" t="str">
        <f t="shared" si="21"/>
        <v>Residential_Building Shell_Basement Sidewall Insulation (Electric Heat)_Remaining Year kWh</v>
      </c>
      <c r="B859" t="s">
        <v>1165</v>
      </c>
      <c r="C859" t="s">
        <v>1169</v>
      </c>
      <c r="D859" t="s">
        <v>1433</v>
      </c>
      <c r="E859" s="568" t="s">
        <v>1394</v>
      </c>
      <c r="F859" s="574" t="e">
        <f>F803+F825+F831</f>
        <v>#N/A</v>
      </c>
      <c r="H859" s="559" t="s">
        <v>1435</v>
      </c>
      <c r="I859" s="559" t="s">
        <v>1436</v>
      </c>
      <c r="J859" s="559" t="b">
        <f t="shared" si="22"/>
        <v>1</v>
      </c>
    </row>
    <row r="860" spans="1:10" hidden="1">
      <c r="A860" s="559" t="str">
        <f t="shared" si="21"/>
        <v>Residential_Building Shell_Basement Sidewall Insulation (Electric Heat)_kWh Saved per Unit</v>
      </c>
      <c r="B860" t="s">
        <v>1165</v>
      </c>
      <c r="C860" t="s">
        <v>1169</v>
      </c>
      <c r="D860" t="s">
        <v>1433</v>
      </c>
      <c r="E860" s="568" t="s">
        <v>1227</v>
      </c>
      <c r="F860" s="574" t="e">
        <f>F804+F826+F832</f>
        <v>#N/A</v>
      </c>
      <c r="H860" s="559" t="s">
        <v>1435</v>
      </c>
      <c r="I860" s="559" t="s">
        <v>1436</v>
      </c>
      <c r="J860" s="559" t="b">
        <f t="shared" si="22"/>
        <v>1</v>
      </c>
    </row>
    <row r="861" spans="1:10" hidden="1">
      <c r="A861" s="559" t="str">
        <f t="shared" si="21"/>
        <v>Residential_Building Shell_Basement Sidewall Insulation (Electric Heat)_Remaining Year kW</v>
      </c>
      <c r="B861" t="s">
        <v>1165</v>
      </c>
      <c r="C861" t="s">
        <v>1169</v>
      </c>
      <c r="D861" t="s">
        <v>1433</v>
      </c>
      <c r="E861" s="568" t="s">
        <v>1395</v>
      </c>
      <c r="F861" s="574" t="e">
        <f>F835</f>
        <v>#N/A</v>
      </c>
      <c r="H861" s="559" t="s">
        <v>1435</v>
      </c>
      <c r="I861" s="559" t="s">
        <v>1436</v>
      </c>
      <c r="J861" s="559" t="b">
        <f t="shared" si="22"/>
        <v>1</v>
      </c>
    </row>
    <row r="862" spans="1:10" hidden="1">
      <c r="A862" s="559" t="str">
        <f t="shared" si="21"/>
        <v>Residential_Building Shell_Basement Sidewall Insulation (Electric Heat)_Coincident Peak kW Saved per Unit</v>
      </c>
      <c r="B862" t="s">
        <v>1165</v>
      </c>
      <c r="C862" t="s">
        <v>1169</v>
      </c>
      <c r="D862" t="s">
        <v>1433</v>
      </c>
      <c r="E862" s="568" t="s">
        <v>1228</v>
      </c>
      <c r="F862" s="574" t="e">
        <f>F836</f>
        <v>#N/A</v>
      </c>
      <c r="H862" s="559" t="s">
        <v>1435</v>
      </c>
      <c r="I862" s="559" t="s">
        <v>1436</v>
      </c>
      <c r="J862" s="559" t="b">
        <f t="shared" si="22"/>
        <v>1</v>
      </c>
    </row>
    <row r="863" spans="1:10" hidden="1">
      <c r="A863" s="559" t="str">
        <f t="shared" si="21"/>
        <v>Residential_Building Shell_Basement Sidewall Insulation (Electric Heat)_Remaining Year Therms</v>
      </c>
      <c r="B863" t="s">
        <v>1165</v>
      </c>
      <c r="C863" t="s">
        <v>1169</v>
      </c>
      <c r="D863" t="s">
        <v>1433</v>
      </c>
      <c r="E863" s="568" t="s">
        <v>1396</v>
      </c>
      <c r="F863" s="574" t="e">
        <f>F857</f>
        <v>#N/A</v>
      </c>
      <c r="H863" s="559" t="s">
        <v>1435</v>
      </c>
      <c r="I863" s="559" t="s">
        <v>1436</v>
      </c>
      <c r="J863" s="559" t="b">
        <f t="shared" si="22"/>
        <v>1</v>
      </c>
    </row>
    <row r="864" spans="1:10" hidden="1">
      <c r="A864" s="559" t="str">
        <f t="shared" si="21"/>
        <v>Residential_Building Shell_Basement Sidewall Insulation (Electric Heat)_Therms Saved per Unit</v>
      </c>
      <c r="B864" t="s">
        <v>1165</v>
      </c>
      <c r="C864" t="s">
        <v>1169</v>
      </c>
      <c r="D864" t="s">
        <v>1433</v>
      </c>
      <c r="E864" s="568" t="s">
        <v>1323</v>
      </c>
      <c r="F864" s="574" t="e">
        <f>F858</f>
        <v>#N/A</v>
      </c>
      <c r="H864" s="559" t="s">
        <v>1435</v>
      </c>
      <c r="I864" s="559" t="s">
        <v>1436</v>
      </c>
      <c r="J864" s="559" t="b">
        <f t="shared" si="22"/>
        <v>1</v>
      </c>
    </row>
    <row r="865" spans="1:10" hidden="1">
      <c r="A865" s="559" t="str">
        <f t="shared" si="21"/>
        <v>Residential_Building Shell_Basement Sidewall Insulation (Electric Heat)_Remaining Life</v>
      </c>
      <c r="B865" t="s">
        <v>1165</v>
      </c>
      <c r="C865" t="s">
        <v>1169</v>
      </c>
      <c r="D865" t="s">
        <v>1433</v>
      </c>
      <c r="E865" s="568" t="s">
        <v>1397</v>
      </c>
      <c r="F865" s="574">
        <v>10</v>
      </c>
      <c r="H865" s="559" t="s">
        <v>1435</v>
      </c>
      <c r="I865" s="559" t="s">
        <v>1436</v>
      </c>
      <c r="J865" s="559" t="b">
        <f t="shared" si="22"/>
        <v>0</v>
      </c>
    </row>
    <row r="866" spans="1:10" hidden="1">
      <c r="A866" s="559" t="str">
        <f t="shared" si="21"/>
        <v>Residential_Building Shell_Basement Sidewall Insulation (Electric Heat)_Lifetime (years)</v>
      </c>
      <c r="B866" t="s">
        <v>1165</v>
      </c>
      <c r="C866" t="s">
        <v>1169</v>
      </c>
      <c r="D866" t="s">
        <v>1433</v>
      </c>
      <c r="E866" s="568" t="s">
        <v>1231</v>
      </c>
      <c r="F866" s="575">
        <v>30</v>
      </c>
      <c r="H866" s="559" t="s">
        <v>1435</v>
      </c>
      <c r="I866" s="559" t="s">
        <v>1436</v>
      </c>
      <c r="J866" s="559" t="b">
        <f t="shared" si="22"/>
        <v>0</v>
      </c>
    </row>
    <row r="867" spans="1:10" hidden="1">
      <c r="A867" s="559" t="str">
        <f t="shared" si="21"/>
        <v>Residential_Building Shell_Basement Sidewall Insulation (Electric Heat)_Incremental Cost</v>
      </c>
      <c r="B867" t="s">
        <v>1165</v>
      </c>
      <c r="C867" t="s">
        <v>1169</v>
      </c>
      <c r="D867" t="s">
        <v>1433</v>
      </c>
      <c r="E867" s="568" t="s">
        <v>1232</v>
      </c>
      <c r="F867" s="570">
        <f>2*F792</f>
        <v>0</v>
      </c>
      <c r="G867" s="559" t="s">
        <v>1398</v>
      </c>
      <c r="H867" s="559" t="s">
        <v>1435</v>
      </c>
      <c r="I867" s="559" t="s">
        <v>1436</v>
      </c>
      <c r="J867" s="559" t="b">
        <f t="shared" si="22"/>
        <v>1</v>
      </c>
    </row>
    <row r="868" spans="1:10" hidden="1">
      <c r="A868" s="559" t="str">
        <f t="shared" si="21"/>
        <v>Residential_Building Shell_Basement Sidewall Insulation (Electric Heat)_BTU Impact_Existing_Fossil Fuel</v>
      </c>
      <c r="B868" t="s">
        <v>1165</v>
      </c>
      <c r="C868" t="s">
        <v>1169</v>
      </c>
      <c r="D868" t="s">
        <v>1433</v>
      </c>
      <c r="E868" s="568" t="s">
        <v>1234</v>
      </c>
      <c r="F868" s="569">
        <v>0</v>
      </c>
      <c r="H868" s="559" t="s">
        <v>1435</v>
      </c>
      <c r="I868" s="559" t="s">
        <v>1436</v>
      </c>
      <c r="J868" s="559" t="b">
        <f t="shared" si="22"/>
        <v>0</v>
      </c>
    </row>
    <row r="869" spans="1:10" hidden="1">
      <c r="A869" s="559" t="str">
        <f t="shared" si="21"/>
        <v>Residential_Building Shell_Basement Sidewall Insulation (Electric Heat)_BTU Impact_Existing_Winter Electricity</v>
      </c>
      <c r="B869" t="s">
        <v>1165</v>
      </c>
      <c r="C869" t="s">
        <v>1169</v>
      </c>
      <c r="D869" t="s">
        <v>1433</v>
      </c>
      <c r="E869" s="568" t="s">
        <v>1235</v>
      </c>
      <c r="F869" s="569">
        <v>0</v>
      </c>
      <c r="H869" s="559" t="s">
        <v>1435</v>
      </c>
      <c r="I869" s="559" t="s">
        <v>1436</v>
      </c>
      <c r="J869" s="559" t="b">
        <f t="shared" si="22"/>
        <v>0</v>
      </c>
    </row>
    <row r="870" spans="1:10" hidden="1">
      <c r="A870" s="559" t="str">
        <f t="shared" si="21"/>
        <v>Residential_Building Shell_Basement Sidewall Insulation (Electric Heat)_BTU Impact_Existing_Summer Electricity</v>
      </c>
      <c r="B870" t="s">
        <v>1165</v>
      </c>
      <c r="C870" t="s">
        <v>1169</v>
      </c>
      <c r="D870" t="s">
        <v>1433</v>
      </c>
      <c r="E870" s="568" t="s">
        <v>1236</v>
      </c>
      <c r="F870" s="569">
        <v>0</v>
      </c>
      <c r="H870" s="559" t="s">
        <v>1435</v>
      </c>
      <c r="I870" s="559" t="s">
        <v>1436</v>
      </c>
      <c r="J870" s="559" t="b">
        <f t="shared" si="22"/>
        <v>0</v>
      </c>
    </row>
    <row r="871" spans="1:10" hidden="1">
      <c r="A871" s="559" t="str">
        <f t="shared" si="21"/>
        <v>Residential_Building Shell_Basement Sidewall Insulation (Electric Heat)_BTU Impact_New_Fossil Fuel</v>
      </c>
      <c r="B871" t="s">
        <v>1165</v>
      </c>
      <c r="C871" t="s">
        <v>1169</v>
      </c>
      <c r="D871" t="s">
        <v>1433</v>
      </c>
      <c r="E871" s="568" t="s">
        <v>1237</v>
      </c>
      <c r="F871" s="569">
        <v>0</v>
      </c>
      <c r="H871" s="559" t="s">
        <v>1435</v>
      </c>
      <c r="I871" s="559" t="s">
        <v>1436</v>
      </c>
      <c r="J871" s="559" t="b">
        <f t="shared" si="22"/>
        <v>0</v>
      </c>
    </row>
    <row r="872" spans="1:10" hidden="1">
      <c r="A872" s="559" t="str">
        <f t="shared" si="21"/>
        <v>Residential_Building Shell_Basement Sidewall Insulation (Electric Heat)_BTU Impact_New_Winter Electricity</v>
      </c>
      <c r="B872" t="s">
        <v>1165</v>
      </c>
      <c r="C872" t="s">
        <v>1169</v>
      </c>
      <c r="D872" t="s">
        <v>1433</v>
      </c>
      <c r="E872" s="568" t="s">
        <v>1238</v>
      </c>
      <c r="F872" s="569" t="e">
        <f>-F825*3412</f>
        <v>#N/A</v>
      </c>
      <c r="H872" s="559" t="s">
        <v>1435</v>
      </c>
      <c r="I872" s="559" t="s">
        <v>1436</v>
      </c>
      <c r="J872" s="559" t="b">
        <f t="shared" si="22"/>
        <v>1</v>
      </c>
    </row>
    <row r="873" spans="1:10" hidden="1">
      <c r="A873" s="559" t="str">
        <f t="shared" si="21"/>
        <v>Residential_Building Shell_Basement Sidewall Insulation (Electric Heat)_BTU Impact_New_Summer Electricity</v>
      </c>
      <c r="B873" t="s">
        <v>1165</v>
      </c>
      <c r="C873" t="s">
        <v>1169</v>
      </c>
      <c r="D873" t="s">
        <v>1433</v>
      </c>
      <c r="E873" s="568" t="s">
        <v>1239</v>
      </c>
      <c r="F873" s="569" t="e">
        <f>-F803*3412</f>
        <v>#N/A</v>
      </c>
      <c r="H873" s="559" t="s">
        <v>1435</v>
      </c>
      <c r="I873" s="559" t="s">
        <v>1436</v>
      </c>
      <c r="J873" s="559" t="b">
        <f t="shared" si="22"/>
        <v>1</v>
      </c>
    </row>
    <row r="874" spans="1:10" hidden="1">
      <c r="A874" s="559" t="str">
        <f t="shared" si="21"/>
        <v>Residential_Building Shell_Basement Sidewall Insulation (Electric Heat)_</v>
      </c>
      <c r="B874" t="s">
        <v>1165</v>
      </c>
      <c r="C874" t="s">
        <v>1169</v>
      </c>
      <c r="D874" t="s">
        <v>1433</v>
      </c>
      <c r="H874" s="559" t="s">
        <v>1435</v>
      </c>
      <c r="I874" s="559" t="s">
        <v>1436</v>
      </c>
      <c r="J874" s="559" t="b">
        <f t="shared" si="22"/>
        <v>0</v>
      </c>
    </row>
    <row r="875" spans="1:10" hidden="1">
      <c r="A875" s="559" t="str">
        <f t="shared" si="21"/>
        <v>Residential_HVAC_Furnace_EFLH</v>
      </c>
      <c r="B875" t="s">
        <v>1165</v>
      </c>
      <c r="C875" t="s">
        <v>95</v>
      </c>
      <c r="D875" t="s">
        <v>70</v>
      </c>
      <c r="E875" s="560" t="s">
        <v>1181</v>
      </c>
      <c r="F875" s="561" t="e">
        <f>INDEX('[18]CZ Inputs'!$G:$G,MATCH($A875&amp;"_"&amp;[18]Dashboard_FS!$K$3,'[18]CZ Inputs'!$A:$A,0))</f>
        <v>#N/A</v>
      </c>
      <c r="H875" s="559" t="s">
        <v>1425</v>
      </c>
      <c r="I875" s="559" t="s">
        <v>1446</v>
      </c>
      <c r="J875" s="559" t="b">
        <f t="shared" si="22"/>
        <v>1</v>
      </c>
    </row>
    <row r="876" spans="1:10" hidden="1">
      <c r="A876" s="559" t="str">
        <f t="shared" si="21"/>
        <v>Residential_HVAC_Gas High Efficiency Furnace_CAPInput</v>
      </c>
      <c r="B876" t="s">
        <v>1165</v>
      </c>
      <c r="C876" t="s">
        <v>95</v>
      </c>
      <c r="D876" t="s">
        <v>1447</v>
      </c>
      <c r="E876" s="560" t="s">
        <v>1448</v>
      </c>
      <c r="F876" s="571" t="e">
        <f>[18]Dashboard_FS!$K$10</f>
        <v>#REF!</v>
      </c>
      <c r="G876" s="559" t="s">
        <v>1449</v>
      </c>
      <c r="H876" s="559" t="s">
        <v>1450</v>
      </c>
      <c r="I876" s="559" t="s">
        <v>1451</v>
      </c>
      <c r="J876" s="559" t="b">
        <f t="shared" si="22"/>
        <v>1</v>
      </c>
    </row>
    <row r="877" spans="1:10" hidden="1">
      <c r="A877" s="559" t="str">
        <f t="shared" si="21"/>
        <v>Residential_HVAC_Gas High Efficiency Furnace_Derating(base)</v>
      </c>
      <c r="B877" t="s">
        <v>1165</v>
      </c>
      <c r="C877" t="s">
        <v>95</v>
      </c>
      <c r="D877" t="s">
        <v>1447</v>
      </c>
      <c r="E877" s="562" t="s">
        <v>1452</v>
      </c>
      <c r="F877" s="572">
        <v>6.4000000000000001E-2</v>
      </c>
      <c r="H877" s="559" t="s">
        <v>1450</v>
      </c>
      <c r="I877" s="559" t="s">
        <v>1451</v>
      </c>
      <c r="J877" s="559" t="b">
        <f t="shared" si="22"/>
        <v>0</v>
      </c>
    </row>
    <row r="878" spans="1:10" hidden="1">
      <c r="A878" s="559" t="str">
        <f t="shared" si="21"/>
        <v>Residential_HVAC_Gas High Efficiency Furnace_AFUE(base)</v>
      </c>
      <c r="B878" t="s">
        <v>1165</v>
      </c>
      <c r="C878" t="s">
        <v>95</v>
      </c>
      <c r="D878" t="s">
        <v>1447</v>
      </c>
      <c r="E878" s="560" t="s">
        <v>1453</v>
      </c>
      <c r="F878" s="571" t="e">
        <f>[18]Dashboard_FS!$K$8</f>
        <v>#REF!</v>
      </c>
      <c r="G878" s="559" t="s">
        <v>1454</v>
      </c>
      <c r="H878" s="559" t="s">
        <v>1450</v>
      </c>
      <c r="I878" s="559" t="s">
        <v>1451</v>
      </c>
      <c r="J878" s="559" t="b">
        <f t="shared" si="22"/>
        <v>1</v>
      </c>
    </row>
    <row r="879" spans="1:10" hidden="1">
      <c r="A879" s="559" t="str">
        <f t="shared" si="21"/>
        <v>Residential_HVAC_Gas High Efficiency Furnace_100000</v>
      </c>
      <c r="B879" t="s">
        <v>1165</v>
      </c>
      <c r="C879" t="s">
        <v>95</v>
      </c>
      <c r="D879" t="s">
        <v>1447</v>
      </c>
      <c r="E879" s="562">
        <v>100000</v>
      </c>
      <c r="F879" s="572">
        <v>100000</v>
      </c>
      <c r="H879" s="559" t="s">
        <v>1450</v>
      </c>
      <c r="I879" s="559" t="s">
        <v>1451</v>
      </c>
      <c r="J879" s="559" t="b">
        <f t="shared" si="22"/>
        <v>0</v>
      </c>
    </row>
    <row r="880" spans="1:10" hidden="1">
      <c r="A880" s="559" t="str">
        <f t="shared" si="21"/>
        <v>Residential_HVAC_Gas High Efficiency Furnace_EFLH</v>
      </c>
      <c r="B880" t="s">
        <v>1165</v>
      </c>
      <c r="C880" t="s">
        <v>95</v>
      </c>
      <c r="D880" t="s">
        <v>1447</v>
      </c>
      <c r="E880" s="560" t="s">
        <v>1181</v>
      </c>
      <c r="F880" s="561" t="e">
        <f>INDEX('[18]CZ Inputs'!$G:$G,MATCH($A880&amp;"_"&amp;[18]Dashboard_FS!$K$3,'[18]CZ Inputs'!$A:$A,0))</f>
        <v>#N/A</v>
      </c>
      <c r="H880" s="559" t="s">
        <v>1450</v>
      </c>
      <c r="I880" s="559" t="s">
        <v>1451</v>
      </c>
      <c r="J880" s="559" t="b">
        <f t="shared" si="22"/>
        <v>1</v>
      </c>
    </row>
    <row r="881" spans="1:10" hidden="1">
      <c r="A881" s="559" t="str">
        <f t="shared" si="21"/>
        <v>Residential_HVAC_Gas High Efficiency Furnace_CAPInput</v>
      </c>
      <c r="B881" t="s">
        <v>1165</v>
      </c>
      <c r="C881" t="s">
        <v>95</v>
      </c>
      <c r="D881" t="s">
        <v>1447</v>
      </c>
      <c r="E881" s="560" t="s">
        <v>1448</v>
      </c>
      <c r="F881" s="571" t="e">
        <f>[18]Dashboard_FS!$K$10</f>
        <v>#REF!</v>
      </c>
      <c r="G881" s="559" t="s">
        <v>1136</v>
      </c>
      <c r="H881" s="559" t="s">
        <v>1450</v>
      </c>
      <c r="I881" s="559" t="s">
        <v>1451</v>
      </c>
      <c r="J881" s="559" t="b">
        <f t="shared" si="22"/>
        <v>1</v>
      </c>
    </row>
    <row r="882" spans="1:10" hidden="1">
      <c r="A882" s="559" t="str">
        <f t="shared" si="21"/>
        <v>Residential_HVAC_Gas High Efficiency Furnace_Derating(eff)</v>
      </c>
      <c r="B882" t="s">
        <v>1165</v>
      </c>
      <c r="C882" t="s">
        <v>95</v>
      </c>
      <c r="D882" t="s">
        <v>1447</v>
      </c>
      <c r="E882" s="562" t="s">
        <v>1455</v>
      </c>
      <c r="F882" s="572">
        <v>6.4000000000000001E-2</v>
      </c>
      <c r="H882" s="559" t="s">
        <v>1450</v>
      </c>
      <c r="I882" s="559" t="s">
        <v>1451</v>
      </c>
      <c r="J882" s="559" t="b">
        <f t="shared" si="22"/>
        <v>0</v>
      </c>
    </row>
    <row r="883" spans="1:10" hidden="1">
      <c r="A883" s="559" t="str">
        <f t="shared" si="21"/>
        <v>Residential_HVAC_Gas High Efficiency Furnace_AFUE(eff)</v>
      </c>
      <c r="B883" t="s">
        <v>1165</v>
      </c>
      <c r="C883" t="s">
        <v>95</v>
      </c>
      <c r="D883" t="s">
        <v>1447</v>
      </c>
      <c r="E883" s="560" t="s">
        <v>1456</v>
      </c>
      <c r="F883" s="571">
        <f>[18]Dashboard_FS!$K$7</f>
        <v>0</v>
      </c>
      <c r="G883" s="559" t="s">
        <v>1131</v>
      </c>
      <c r="H883" s="559" t="s">
        <v>1450</v>
      </c>
      <c r="I883" s="559" t="s">
        <v>1451</v>
      </c>
      <c r="J883" s="559" t="b">
        <f t="shared" si="22"/>
        <v>1</v>
      </c>
    </row>
    <row r="884" spans="1:10" hidden="1">
      <c r="A884" s="559" t="str">
        <f t="shared" si="21"/>
        <v>Residential_HVAC_Gas High Efficiency Furnace_100000</v>
      </c>
      <c r="B884" t="s">
        <v>1165</v>
      </c>
      <c r="C884" t="s">
        <v>95</v>
      </c>
      <c r="D884" t="s">
        <v>1447</v>
      </c>
      <c r="E884" s="562">
        <v>100000</v>
      </c>
      <c r="F884" s="572">
        <v>100000</v>
      </c>
      <c r="H884" s="559" t="s">
        <v>1450</v>
      </c>
      <c r="I884" s="559" t="s">
        <v>1451</v>
      </c>
      <c r="J884" s="559" t="b">
        <f t="shared" si="22"/>
        <v>0</v>
      </c>
    </row>
    <row r="885" spans="1:10" hidden="1">
      <c r="A885" s="559" t="str">
        <f t="shared" si="21"/>
        <v>Residential_HVAC_Gas High Efficiency Furnace_Lifetime (years)</v>
      </c>
      <c r="B885" t="s">
        <v>1165</v>
      </c>
      <c r="C885" t="s">
        <v>95</v>
      </c>
      <c r="D885" t="s">
        <v>1447</v>
      </c>
      <c r="E885" s="568" t="s">
        <v>1231</v>
      </c>
      <c r="F885" s="586">
        <v>20</v>
      </c>
      <c r="H885" s="559" t="s">
        <v>1450</v>
      </c>
      <c r="I885" s="559" t="s">
        <v>1451</v>
      </c>
      <c r="J885" s="559" t="b">
        <f t="shared" si="22"/>
        <v>0</v>
      </c>
    </row>
    <row r="886" spans="1:10" hidden="1">
      <c r="A886" s="559" t="str">
        <f t="shared" si="21"/>
        <v>Residential_HVAC_Gas High Efficiency Furnace_Incremental Cost</v>
      </c>
      <c r="B886" t="s">
        <v>1165</v>
      </c>
      <c r="C886" t="s">
        <v>95</v>
      </c>
      <c r="D886" t="s">
        <v>1447</v>
      </c>
      <c r="E886" s="568" t="s">
        <v>1232</v>
      </c>
      <c r="F886" s="587">
        <v>3449</v>
      </c>
      <c r="G886" s="559" t="s">
        <v>1457</v>
      </c>
      <c r="H886" s="559" t="s">
        <v>1450</v>
      </c>
      <c r="I886" s="559" t="s">
        <v>1451</v>
      </c>
      <c r="J886" s="559" t="b">
        <f t="shared" si="22"/>
        <v>0</v>
      </c>
    </row>
    <row r="887" spans="1:10" hidden="1">
      <c r="A887" s="559" t="str">
        <f t="shared" si="21"/>
        <v>Residential_HVAC_Gas High Efficiency Furnace_BTU Impact_Existing_Fossil Fuel</v>
      </c>
      <c r="B887" t="s">
        <v>1165</v>
      </c>
      <c r="C887" t="s">
        <v>95</v>
      </c>
      <c r="D887" t="s">
        <v>1447</v>
      </c>
      <c r="E887" s="568" t="s">
        <v>1234</v>
      </c>
      <c r="F887" s="569" t="e">
        <f>-(F875*F876)*(1/(F878*(1-F877)))</f>
        <v>#N/A</v>
      </c>
      <c r="H887" s="559" t="s">
        <v>1450</v>
      </c>
      <c r="I887" s="559" t="s">
        <v>1451</v>
      </c>
      <c r="J887" s="559" t="b">
        <f t="shared" si="22"/>
        <v>1</v>
      </c>
    </row>
    <row r="888" spans="1:10" hidden="1">
      <c r="A888" s="559" t="str">
        <f t="shared" ref="A888:A910" si="23">B888&amp;"_"&amp;C888&amp;"_"&amp;D888&amp;"_"&amp;E888</f>
        <v>Residential_HVAC_Gas High Efficiency Furnace_BTU Impact_Existing_Winter Electricity</v>
      </c>
      <c r="B888" t="s">
        <v>1165</v>
      </c>
      <c r="C888" t="s">
        <v>95</v>
      </c>
      <c r="D888" t="s">
        <v>1447</v>
      </c>
      <c r="E888" s="568" t="s">
        <v>1235</v>
      </c>
      <c r="F888" s="569">
        <v>0</v>
      </c>
      <c r="H888" s="559" t="s">
        <v>1450</v>
      </c>
      <c r="I888" s="559" t="s">
        <v>1451</v>
      </c>
      <c r="J888" s="559" t="b">
        <f t="shared" si="22"/>
        <v>0</v>
      </c>
    </row>
    <row r="889" spans="1:10" hidden="1">
      <c r="A889" s="559" t="str">
        <f t="shared" si="23"/>
        <v>Residential_HVAC_Gas High Efficiency Furnace_BTU Impact_Existing_Summer Electricity</v>
      </c>
      <c r="B889" t="s">
        <v>1165</v>
      </c>
      <c r="C889" t="s">
        <v>95</v>
      </c>
      <c r="D889" t="s">
        <v>1447</v>
      </c>
      <c r="E889" s="568" t="s">
        <v>1236</v>
      </c>
      <c r="F889" s="569">
        <v>0</v>
      </c>
      <c r="H889" s="559" t="s">
        <v>1450</v>
      </c>
      <c r="I889" s="559" t="s">
        <v>1451</v>
      </c>
      <c r="J889" s="559" t="b">
        <f t="shared" si="22"/>
        <v>0</v>
      </c>
    </row>
    <row r="890" spans="1:10" hidden="1">
      <c r="A890" s="559" t="str">
        <f t="shared" si="23"/>
        <v>Residential_HVAC_Gas High Efficiency Furnace_BTU Impact_New_Fossil Fuel</v>
      </c>
      <c r="B890" t="s">
        <v>1165</v>
      </c>
      <c r="C890" t="s">
        <v>95</v>
      </c>
      <c r="D890" t="s">
        <v>1447</v>
      </c>
      <c r="E890" s="568" t="s">
        <v>1237</v>
      </c>
      <c r="F890" s="569" t="e">
        <f>(F880*F881)*(1/(F883*(1-F882)))</f>
        <v>#N/A</v>
      </c>
      <c r="H890" s="559" t="s">
        <v>1450</v>
      </c>
      <c r="I890" s="559" t="s">
        <v>1451</v>
      </c>
      <c r="J890" s="559" t="b">
        <f t="shared" si="22"/>
        <v>1</v>
      </c>
    </row>
    <row r="891" spans="1:10" hidden="1">
      <c r="A891" s="559" t="str">
        <f t="shared" si="23"/>
        <v>Residential_HVAC_Gas High Efficiency Furnace_BTU Impact_New_Winter Electricity</v>
      </c>
      <c r="B891" t="s">
        <v>1165</v>
      </c>
      <c r="C891" t="s">
        <v>95</v>
      </c>
      <c r="D891" t="s">
        <v>1447</v>
      </c>
      <c r="E891" s="568" t="s">
        <v>1238</v>
      </c>
      <c r="F891" s="569">
        <v>0</v>
      </c>
      <c r="H891" s="559" t="s">
        <v>1450</v>
      </c>
      <c r="I891" s="559" t="s">
        <v>1451</v>
      </c>
      <c r="J891" s="559" t="b">
        <f t="shared" si="22"/>
        <v>0</v>
      </c>
    </row>
    <row r="892" spans="1:10" hidden="1">
      <c r="A892" s="559" t="str">
        <f t="shared" si="23"/>
        <v>Residential_HVAC_Gas High Efficiency Furnace_BTU Impact_New_Summer Electricity</v>
      </c>
      <c r="B892" t="s">
        <v>1165</v>
      </c>
      <c r="C892" t="s">
        <v>95</v>
      </c>
      <c r="D892" t="s">
        <v>1447</v>
      </c>
      <c r="E892" s="568" t="s">
        <v>1239</v>
      </c>
      <c r="F892" s="569">
        <v>0</v>
      </c>
      <c r="H892" s="559" t="s">
        <v>1450</v>
      </c>
      <c r="I892" s="559" t="s">
        <v>1451</v>
      </c>
      <c r="J892" s="559" t="b">
        <f t="shared" si="22"/>
        <v>0</v>
      </c>
    </row>
    <row r="893" spans="1:10" hidden="1">
      <c r="A893" s="559" t="str">
        <f t="shared" si="23"/>
        <v>Residential_HVAC_Gas High Efficiency Furnace_</v>
      </c>
      <c r="B893" t="s">
        <v>1165</v>
      </c>
      <c r="C893" t="s">
        <v>95</v>
      </c>
      <c r="D893" t="s">
        <v>1447</v>
      </c>
      <c r="H893" s="559" t="s">
        <v>1450</v>
      </c>
      <c r="I893" s="559" t="s">
        <v>1451</v>
      </c>
      <c r="J893" s="559" t="b">
        <f t="shared" si="22"/>
        <v>0</v>
      </c>
    </row>
    <row r="894" spans="1:10" hidden="1">
      <c r="A894" s="559" t="str">
        <f t="shared" si="23"/>
        <v>Residential_HVAC_Boiler_EFLH</v>
      </c>
      <c r="B894" t="s">
        <v>1165</v>
      </c>
      <c r="C894" t="s">
        <v>95</v>
      </c>
      <c r="D894" t="s">
        <v>72</v>
      </c>
      <c r="E894" s="560" t="s">
        <v>1181</v>
      </c>
      <c r="F894" s="561" t="e">
        <f>INDEX('[18]CZ Inputs'!$G:$G,MATCH($A894&amp;"_"&amp;[18]Dashboard_FS!$K$3,'[18]CZ Inputs'!$A:$A,0))</f>
        <v>#N/A</v>
      </c>
      <c r="H894" s="559" t="s">
        <v>1458</v>
      </c>
      <c r="I894" s="559" t="s">
        <v>1459</v>
      </c>
      <c r="J894" s="559" t="b">
        <f>_xlfn.ISFORMULA(F894)</f>
        <v>1</v>
      </c>
    </row>
    <row r="895" spans="1:10" hidden="1">
      <c r="A895" s="559" t="str">
        <f t="shared" si="23"/>
        <v>Residential_HVAC_Gas High Efficiency Boiler_CAPInput</v>
      </c>
      <c r="B895" t="s">
        <v>1165</v>
      </c>
      <c r="C895" t="s">
        <v>95</v>
      </c>
      <c r="D895" t="s">
        <v>1460</v>
      </c>
      <c r="E895" s="560" t="s">
        <v>1448</v>
      </c>
      <c r="F895" s="571" t="e">
        <f>[18]Dashboard_FS!$K$10</f>
        <v>#REF!</v>
      </c>
      <c r="G895" s="559" t="s">
        <v>1449</v>
      </c>
      <c r="H895" s="559" t="s">
        <v>1458</v>
      </c>
      <c r="I895" s="559" t="s">
        <v>1459</v>
      </c>
      <c r="J895" s="559" t="b">
        <f>_xlfn.ISFORMULA(F895)</f>
        <v>1</v>
      </c>
    </row>
    <row r="896" spans="1:10" hidden="1">
      <c r="A896" s="559" t="str">
        <f t="shared" si="23"/>
        <v>Residential_HVAC_Gas High Efficiency Boiler_AFUEBase</v>
      </c>
      <c r="B896" t="s">
        <v>1165</v>
      </c>
      <c r="C896" t="s">
        <v>95</v>
      </c>
      <c r="D896" t="s">
        <v>1460</v>
      </c>
      <c r="E896" s="560" t="s">
        <v>1461</v>
      </c>
      <c r="F896" s="571" t="e">
        <f>[18]Dashboard_FS!$K$8</f>
        <v>#REF!</v>
      </c>
      <c r="G896" s="559" t="s">
        <v>1454</v>
      </c>
      <c r="H896" s="559" t="s">
        <v>1458</v>
      </c>
      <c r="I896" s="559" t="s">
        <v>1459</v>
      </c>
      <c r="J896" s="559" t="b">
        <f>_xlfn.ISFORMULA(F896)</f>
        <v>1</v>
      </c>
    </row>
    <row r="897" spans="1:10" hidden="1">
      <c r="A897" s="559" t="str">
        <f t="shared" si="23"/>
        <v>Residential_HVAC_Gas High Efficiency Boiler_100000</v>
      </c>
      <c r="B897" t="s">
        <v>1165</v>
      </c>
      <c r="C897" t="s">
        <v>95</v>
      </c>
      <c r="D897" t="s">
        <v>1460</v>
      </c>
      <c r="E897" s="562">
        <v>100000</v>
      </c>
      <c r="F897" s="572">
        <v>100000</v>
      </c>
      <c r="H897" s="559" t="s">
        <v>1458</v>
      </c>
      <c r="I897" s="559" t="s">
        <v>1459</v>
      </c>
      <c r="J897" s="559" t="b">
        <f>_xlfn.ISFORMULA(F897)</f>
        <v>0</v>
      </c>
    </row>
    <row r="898" spans="1:10" hidden="1">
      <c r="A898" s="559" t="str">
        <f t="shared" si="23"/>
        <v>Residential_HVAC_Gas High Efficiency Boiler_EFLH</v>
      </c>
      <c r="B898" t="s">
        <v>1165</v>
      </c>
      <c r="C898" t="s">
        <v>95</v>
      </c>
      <c r="D898" t="s">
        <v>1460</v>
      </c>
      <c r="E898" s="560" t="s">
        <v>1181</v>
      </c>
      <c r="F898" s="561" t="e">
        <f>INDEX('[18]CZ Inputs'!$G:$G,MATCH($A898&amp;"_"&amp;[18]Dashboard_FS!$K$3,'[18]CZ Inputs'!$A:$A,0))</f>
        <v>#N/A</v>
      </c>
      <c r="H898" s="559" t="s">
        <v>1458</v>
      </c>
      <c r="I898" s="559" t="s">
        <v>1459</v>
      </c>
      <c r="J898" s="559" t="b">
        <f t="shared" si="22"/>
        <v>1</v>
      </c>
    </row>
    <row r="899" spans="1:10" hidden="1">
      <c r="A899" s="559" t="str">
        <f t="shared" si="23"/>
        <v>Residential_HVAC_Gas High Efficiency Boiler_CAPInput</v>
      </c>
      <c r="B899" t="s">
        <v>1165</v>
      </c>
      <c r="C899" t="s">
        <v>95</v>
      </c>
      <c r="D899" t="s">
        <v>1460</v>
      </c>
      <c r="E899" s="560" t="s">
        <v>1448</v>
      </c>
      <c r="F899" s="571" t="e">
        <f>[18]Dashboard_FS!$K$10</f>
        <v>#REF!</v>
      </c>
      <c r="G899" s="559" t="s">
        <v>1136</v>
      </c>
      <c r="H899" s="559" t="s">
        <v>1458</v>
      </c>
      <c r="I899" s="559" t="s">
        <v>1459</v>
      </c>
      <c r="J899" s="559" t="b">
        <f t="shared" si="22"/>
        <v>1</v>
      </c>
    </row>
    <row r="900" spans="1:10" hidden="1">
      <c r="A900" s="559" t="str">
        <f t="shared" si="23"/>
        <v>Residential_HVAC_Gas High Efficiency Boiler_AFUEEff</v>
      </c>
      <c r="B900" t="s">
        <v>1165</v>
      </c>
      <c r="C900" t="s">
        <v>95</v>
      </c>
      <c r="D900" t="s">
        <v>1460</v>
      </c>
      <c r="E900" s="560" t="s">
        <v>1462</v>
      </c>
      <c r="F900" s="571">
        <f>[18]Dashboard_FS!$K$7</f>
        <v>0</v>
      </c>
      <c r="G900" s="559" t="s">
        <v>1131</v>
      </c>
      <c r="H900" s="559" t="s">
        <v>1458</v>
      </c>
      <c r="I900" s="559" t="s">
        <v>1459</v>
      </c>
      <c r="J900" s="559" t="b">
        <f t="shared" si="22"/>
        <v>1</v>
      </c>
    </row>
    <row r="901" spans="1:10" hidden="1">
      <c r="A901" s="559" t="str">
        <f t="shared" si="23"/>
        <v>Residential_HVAC_Gas High Efficiency Boiler_100000</v>
      </c>
      <c r="B901" t="s">
        <v>1165</v>
      </c>
      <c r="C901" t="s">
        <v>95</v>
      </c>
      <c r="D901" t="s">
        <v>1460</v>
      </c>
      <c r="E901" s="562">
        <v>100000</v>
      </c>
      <c r="F901" s="572">
        <v>100000</v>
      </c>
      <c r="H901" s="559" t="s">
        <v>1458</v>
      </c>
      <c r="I901" s="559" t="s">
        <v>1459</v>
      </c>
      <c r="J901" s="559" t="b">
        <f t="shared" si="22"/>
        <v>0</v>
      </c>
    </row>
    <row r="902" spans="1:10" hidden="1">
      <c r="A902" s="559" t="str">
        <f t="shared" si="23"/>
        <v>Residential_HVAC_Gas High Efficiency Boiler_Lifetime (years)</v>
      </c>
      <c r="B902" t="s">
        <v>1165</v>
      </c>
      <c r="C902" t="s">
        <v>95</v>
      </c>
      <c r="D902" t="s">
        <v>1460</v>
      </c>
      <c r="E902" s="568" t="s">
        <v>1231</v>
      </c>
      <c r="F902" s="586">
        <v>25</v>
      </c>
      <c r="H902" s="559" t="s">
        <v>1458</v>
      </c>
      <c r="I902" s="559" t="s">
        <v>1459</v>
      </c>
      <c r="J902" s="559" t="b">
        <f t="shared" si="22"/>
        <v>0</v>
      </c>
    </row>
    <row r="903" spans="1:10" hidden="1">
      <c r="A903" s="559" t="str">
        <f t="shared" si="23"/>
        <v>Residential_HVAC_Gas High Efficiency Boiler_Incremental Cost</v>
      </c>
      <c r="B903" t="s">
        <v>1165</v>
      </c>
      <c r="C903" t="s">
        <v>95</v>
      </c>
      <c r="D903" t="s">
        <v>1460</v>
      </c>
      <c r="E903" s="568" t="s">
        <v>1232</v>
      </c>
      <c r="F903" s="587">
        <v>6188</v>
      </c>
      <c r="G903" s="559" t="s">
        <v>1457</v>
      </c>
      <c r="H903" s="559" t="s">
        <v>1458</v>
      </c>
      <c r="I903" s="559" t="s">
        <v>1459</v>
      </c>
      <c r="J903" s="559" t="b">
        <f t="shared" si="22"/>
        <v>0</v>
      </c>
    </row>
    <row r="904" spans="1:10" hidden="1">
      <c r="A904" s="559" t="str">
        <f t="shared" si="23"/>
        <v>Residential_HVAC_Gas High Efficiency Boiler_BTU Impact_Existing_Fossil Fuel</v>
      </c>
      <c r="B904" t="s">
        <v>1165</v>
      </c>
      <c r="C904" t="s">
        <v>95</v>
      </c>
      <c r="D904" t="s">
        <v>1460</v>
      </c>
      <c r="E904" s="568" t="s">
        <v>1234</v>
      </c>
      <c r="F904" s="569" t="e">
        <f>-(F894*F895)*(1/F896)</f>
        <v>#N/A</v>
      </c>
      <c r="H904" s="559" t="s">
        <v>1458</v>
      </c>
      <c r="I904" s="559" t="s">
        <v>1459</v>
      </c>
      <c r="J904" s="559" t="b">
        <f t="shared" si="22"/>
        <v>1</v>
      </c>
    </row>
    <row r="905" spans="1:10" hidden="1">
      <c r="A905" s="559" t="str">
        <f t="shared" si="23"/>
        <v>Residential_HVAC_Gas High Efficiency Boiler_BTU Impact_Existing_Winter Electricity</v>
      </c>
      <c r="B905" t="s">
        <v>1165</v>
      </c>
      <c r="C905" t="s">
        <v>95</v>
      </c>
      <c r="D905" t="s">
        <v>1460</v>
      </c>
      <c r="E905" s="568" t="s">
        <v>1235</v>
      </c>
      <c r="F905" s="569">
        <v>0</v>
      </c>
      <c r="H905" s="559" t="s">
        <v>1458</v>
      </c>
      <c r="I905" s="559" t="s">
        <v>1459</v>
      </c>
      <c r="J905" s="559" t="b">
        <f t="shared" si="22"/>
        <v>0</v>
      </c>
    </row>
    <row r="906" spans="1:10" hidden="1">
      <c r="A906" s="559" t="str">
        <f t="shared" si="23"/>
        <v>Residential_HVAC_Gas High Efficiency Boiler_BTU Impact_Existing_Summer Electricity</v>
      </c>
      <c r="B906" t="s">
        <v>1165</v>
      </c>
      <c r="C906" t="s">
        <v>95</v>
      </c>
      <c r="D906" t="s">
        <v>1460</v>
      </c>
      <c r="E906" s="568" t="s">
        <v>1236</v>
      </c>
      <c r="F906" s="569">
        <v>0</v>
      </c>
      <c r="H906" s="559" t="s">
        <v>1458</v>
      </c>
      <c r="I906" s="559" t="s">
        <v>1459</v>
      </c>
      <c r="J906" s="559" t="b">
        <f t="shared" si="22"/>
        <v>0</v>
      </c>
    </row>
    <row r="907" spans="1:10" hidden="1">
      <c r="A907" s="559" t="str">
        <f t="shared" si="23"/>
        <v>Residential_HVAC_Gas High Efficiency Boiler_BTU Impact_New_Fossil Fuel</v>
      </c>
      <c r="B907" t="s">
        <v>1165</v>
      </c>
      <c r="C907" t="s">
        <v>95</v>
      </c>
      <c r="D907" t="s">
        <v>1460</v>
      </c>
      <c r="E907" s="568" t="s">
        <v>1237</v>
      </c>
      <c r="F907" s="569" t="e">
        <f>(F898*F899)*(1/F900)</f>
        <v>#N/A</v>
      </c>
      <c r="H907" s="559" t="s">
        <v>1458</v>
      </c>
      <c r="I907" s="559" t="s">
        <v>1459</v>
      </c>
      <c r="J907" s="559" t="b">
        <f t="shared" si="22"/>
        <v>1</v>
      </c>
    </row>
    <row r="908" spans="1:10" hidden="1">
      <c r="A908" s="559" t="str">
        <f t="shared" si="23"/>
        <v>Residential_HVAC_Gas High Efficiency Boiler_BTU Impact_New_Winter Electricity</v>
      </c>
      <c r="B908" t="s">
        <v>1165</v>
      </c>
      <c r="C908" t="s">
        <v>95</v>
      </c>
      <c r="D908" t="s">
        <v>1460</v>
      </c>
      <c r="E908" s="568" t="s">
        <v>1238</v>
      </c>
      <c r="F908" s="569">
        <v>0</v>
      </c>
      <c r="H908" s="559" t="s">
        <v>1458</v>
      </c>
      <c r="I908" s="559" t="s">
        <v>1459</v>
      </c>
      <c r="J908" s="559" t="b">
        <f t="shared" si="22"/>
        <v>0</v>
      </c>
    </row>
    <row r="909" spans="1:10" hidden="1">
      <c r="A909" s="559" t="str">
        <f t="shared" si="23"/>
        <v>Residential_HVAC_Gas High Efficiency Boiler_BTU Impact_New_Summer Electricity</v>
      </c>
      <c r="B909" t="s">
        <v>1165</v>
      </c>
      <c r="C909" t="s">
        <v>95</v>
      </c>
      <c r="D909" t="s">
        <v>1460</v>
      </c>
      <c r="E909" s="568" t="s">
        <v>1239</v>
      </c>
      <c r="F909" s="569">
        <v>0</v>
      </c>
      <c r="H909" s="559" t="s">
        <v>1458</v>
      </c>
      <c r="I909" s="559" t="s">
        <v>1459</v>
      </c>
      <c r="J909" s="559" t="b">
        <f t="shared" si="22"/>
        <v>0</v>
      </c>
    </row>
    <row r="910" spans="1:10" hidden="1">
      <c r="A910" s="559" t="str">
        <f t="shared" si="23"/>
        <v>Residential_HVAC_Gas High Efficiency Boiler_</v>
      </c>
      <c r="B910" t="s">
        <v>1165</v>
      </c>
      <c r="C910" t="s">
        <v>95</v>
      </c>
      <c r="D910" t="s">
        <v>1460</v>
      </c>
      <c r="H910" s="559" t="s">
        <v>1458</v>
      </c>
      <c r="I910" s="559" t="s">
        <v>1459</v>
      </c>
      <c r="J910" s="559" t="b">
        <f t="shared" si="22"/>
        <v>0</v>
      </c>
    </row>
  </sheetData>
  <autoFilter ref="A1:J910" xr:uid="{28DC8B96-8763-4BD5-9755-2F94298FFA8A}">
    <filterColumn colId="3">
      <filters>
        <filter val="Heat Pump Water Heater"/>
      </filters>
    </filterColumn>
  </autoFilter>
  <pageMargins left="0.7" right="0.7" top="0.75" bottom="0.75" header="0.3" footer="0.3"/>
  <pageSetup orientation="portrait" horizontalDpi="1200" verticalDpi="1200"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818498-8C03-423A-A4B6-3C4E1550B5BE}">
  <sheetPr>
    <tabColor rgb="FF00B0F0"/>
  </sheetPr>
  <dimension ref="A1:I22"/>
  <sheetViews>
    <sheetView zoomScaleNormal="100" workbookViewId="0">
      <selection activeCell="D12" sqref="D12"/>
    </sheetView>
  </sheetViews>
  <sheetFormatPr defaultRowHeight="14.4"/>
  <cols>
    <col min="1" max="11" width="31.5546875" customWidth="1"/>
  </cols>
  <sheetData>
    <row r="1" spans="1:9">
      <c r="A1" s="7" t="s">
        <v>1463</v>
      </c>
      <c r="B1" s="7" t="s">
        <v>1151</v>
      </c>
      <c r="C1" s="7" t="s">
        <v>1144</v>
      </c>
      <c r="D1" s="7"/>
    </row>
    <row r="2" spans="1:9">
      <c r="A2" t="s">
        <v>214</v>
      </c>
      <c r="B2" t="s">
        <v>28</v>
      </c>
      <c r="C2" t="s">
        <v>1042</v>
      </c>
    </row>
    <row r="3" spans="1:9">
      <c r="A3" t="s">
        <v>1139</v>
      </c>
      <c r="B3" t="s">
        <v>31</v>
      </c>
      <c r="C3" t="s">
        <v>1043</v>
      </c>
    </row>
    <row r="7" spans="1:9">
      <c r="A7" s="7" t="s">
        <v>1152</v>
      </c>
      <c r="B7" s="7" t="s">
        <v>1185</v>
      </c>
      <c r="C7" s="7" t="s">
        <v>1241</v>
      </c>
      <c r="D7" s="7" t="s">
        <v>1256</v>
      </c>
      <c r="E7" s="7" t="s">
        <v>1166</v>
      </c>
      <c r="F7" s="7" t="s">
        <v>44</v>
      </c>
      <c r="G7" s="7" t="s">
        <v>357</v>
      </c>
      <c r="H7" s="7" t="s">
        <v>1326</v>
      </c>
      <c r="I7" s="7" t="s">
        <v>1116</v>
      </c>
    </row>
    <row r="8" spans="1:9">
      <c r="A8" t="s">
        <v>1464</v>
      </c>
      <c r="B8" t="s">
        <v>1185</v>
      </c>
      <c r="C8" t="s">
        <v>1241</v>
      </c>
      <c r="D8" t="s">
        <v>1256</v>
      </c>
      <c r="E8" t="s">
        <v>1166</v>
      </c>
      <c r="F8" t="s">
        <v>44</v>
      </c>
      <c r="G8" t="s">
        <v>357</v>
      </c>
      <c r="H8" t="s">
        <v>1326</v>
      </c>
      <c r="I8" t="s">
        <v>1359</v>
      </c>
    </row>
    <row r="9" spans="1:9">
      <c r="A9" t="s">
        <v>1465</v>
      </c>
      <c r="B9" t="s">
        <v>1166</v>
      </c>
      <c r="C9" t="s">
        <v>1166</v>
      </c>
      <c r="D9" t="s">
        <v>1166</v>
      </c>
      <c r="E9" t="s">
        <v>1166</v>
      </c>
      <c r="F9" t="s">
        <v>1166</v>
      </c>
      <c r="G9" t="s">
        <v>1166</v>
      </c>
      <c r="H9" t="s">
        <v>1166</v>
      </c>
      <c r="I9" t="s">
        <v>1399</v>
      </c>
    </row>
    <row r="10" spans="1:9">
      <c r="I10" t="s">
        <v>1411</v>
      </c>
    </row>
    <row r="11" spans="1:9">
      <c r="A11" t="s">
        <v>1150</v>
      </c>
      <c r="B11" t="s">
        <v>70</v>
      </c>
      <c r="C11" t="s">
        <v>72</v>
      </c>
      <c r="D11" t="s">
        <v>70</v>
      </c>
      <c r="E11" t="s">
        <v>1166</v>
      </c>
      <c r="F11" t="s">
        <v>1466</v>
      </c>
      <c r="G11" t="s">
        <v>1467</v>
      </c>
      <c r="H11" t="s">
        <v>1468</v>
      </c>
      <c r="I11" t="s">
        <v>1412</v>
      </c>
    </row>
    <row r="12" spans="1:9">
      <c r="I12" t="s">
        <v>1421</v>
      </c>
    </row>
    <row r="13" spans="1:9">
      <c r="I13" t="s">
        <v>1422</v>
      </c>
    </row>
    <row r="14" spans="1:9">
      <c r="A14" s="7" t="s">
        <v>106</v>
      </c>
      <c r="B14" s="7" t="s">
        <v>1469</v>
      </c>
      <c r="C14" s="7" t="s">
        <v>1470</v>
      </c>
      <c r="D14" s="7" t="s">
        <v>1471</v>
      </c>
      <c r="I14" t="s">
        <v>1424</v>
      </c>
    </row>
    <row r="15" spans="1:9">
      <c r="A15" t="s">
        <v>28</v>
      </c>
      <c r="B15" t="s">
        <v>1472</v>
      </c>
      <c r="C15" s="181">
        <v>91452</v>
      </c>
      <c r="D15" s="595">
        <f>138.63/10^6</f>
        <v>1.3862999999999999E-4</v>
      </c>
      <c r="I15" t="s">
        <v>1433</v>
      </c>
    </row>
    <row r="16" spans="1:9">
      <c r="A16" t="s">
        <v>31</v>
      </c>
      <c r="B16" t="s">
        <v>1473</v>
      </c>
      <c r="C16" s="181">
        <v>1000000</v>
      </c>
      <c r="D16" s="595">
        <f>116.65/10^6</f>
        <v>1.1665E-4</v>
      </c>
      <c r="I16" t="s">
        <v>1166</v>
      </c>
    </row>
    <row r="17" spans="1:4">
      <c r="A17" t="s">
        <v>1143</v>
      </c>
      <c r="B17" t="s">
        <v>1472</v>
      </c>
      <c r="C17" s="181">
        <v>138500</v>
      </c>
      <c r="D17" s="595">
        <f>163.45/10^6</f>
        <v>1.6344999999999999E-4</v>
      </c>
    </row>
    <row r="18" spans="1:4">
      <c r="A18" t="s">
        <v>1164</v>
      </c>
      <c r="B18" t="s">
        <v>461</v>
      </c>
      <c r="C18" s="181">
        <v>3412</v>
      </c>
      <c r="D18" s="595">
        <v>4.1970915951283159E-4</v>
      </c>
    </row>
    <row r="21" spans="1:4">
      <c r="A21" s="7" t="s">
        <v>1474</v>
      </c>
      <c r="B21" s="7" t="s">
        <v>1475</v>
      </c>
    </row>
    <row r="22" spans="1:4">
      <c r="A22" t="s">
        <v>1123</v>
      </c>
      <c r="B22" t="s">
        <v>1126</v>
      </c>
    </row>
  </sheetData>
  <pageMargins left="0.7" right="0.7" top="0.75" bottom="0.75" header="0.3" footer="0.3"/>
  <pageSetup orientation="portrait" horizontalDpi="1200" verticalDpi="1200"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2089C1-6472-4700-99D9-0FAF61C685FF}">
  <dimension ref="A1:L42"/>
  <sheetViews>
    <sheetView zoomScaleNormal="100" workbookViewId="0">
      <selection activeCell="G16" sqref="G16"/>
    </sheetView>
  </sheetViews>
  <sheetFormatPr defaultRowHeight="14.4"/>
  <cols>
    <col min="1" max="1" width="3.6640625" style="4" customWidth="1"/>
    <col min="2" max="2" width="3.6640625" customWidth="1"/>
    <col min="3" max="4" width="10.44140625" customWidth="1"/>
    <col min="7" max="7" width="10.109375" bestFit="1" customWidth="1"/>
    <col min="9" max="9" width="6.109375" customWidth="1"/>
    <col min="10" max="10" width="12.109375" customWidth="1"/>
    <col min="11" max="11" width="3.6640625" customWidth="1"/>
    <col min="12" max="12" width="3.6640625" style="4" customWidth="1"/>
  </cols>
  <sheetData>
    <row r="1" spans="2:11">
      <c r="B1" s="1975" t="s">
        <v>447</v>
      </c>
      <c r="C1" s="1975"/>
      <c r="D1" s="1975"/>
      <c r="E1" s="1975"/>
      <c r="F1" s="1975"/>
      <c r="G1" s="1975"/>
      <c r="H1" s="1975"/>
      <c r="I1" s="1975"/>
      <c r="J1" s="1975"/>
      <c r="K1" s="1975"/>
    </row>
    <row r="2" spans="2:11">
      <c r="B2" s="1975"/>
      <c r="C2" s="1975"/>
      <c r="D2" s="1975"/>
      <c r="E2" s="1975"/>
      <c r="F2" s="1975"/>
      <c r="G2" s="1975"/>
      <c r="H2" s="1975"/>
      <c r="I2" s="1975"/>
      <c r="J2" s="1975"/>
      <c r="K2" s="1975"/>
    </row>
    <row r="3" spans="2:11">
      <c r="B3" s="1975"/>
      <c r="C3" s="1975"/>
      <c r="D3" s="1975"/>
      <c r="E3" s="1975"/>
      <c r="F3" s="1975"/>
      <c r="G3" s="1975"/>
      <c r="H3" s="1975"/>
      <c r="I3" s="1975"/>
      <c r="J3" s="1975"/>
      <c r="K3" s="1975"/>
    </row>
    <row r="4" spans="2:11" ht="20.399999999999999" customHeight="1">
      <c r="B4" s="1975"/>
      <c r="C4" s="1975"/>
      <c r="D4" s="1975"/>
      <c r="E4" s="1975"/>
      <c r="F4" s="1975"/>
      <c r="G4" s="1975"/>
      <c r="H4" s="1975"/>
      <c r="I4" s="1975"/>
      <c r="J4" s="1975"/>
      <c r="K4" s="1975"/>
    </row>
    <row r="5" spans="2:11">
      <c r="B5" s="1976"/>
      <c r="C5" s="1976"/>
      <c r="D5" s="1976"/>
      <c r="E5" s="1976"/>
      <c r="F5" s="1976"/>
      <c r="G5" s="1976"/>
      <c r="H5" s="1976"/>
      <c r="I5" s="1976"/>
      <c r="J5" s="1976"/>
      <c r="K5" s="1976"/>
    </row>
    <row r="6" spans="2:11" ht="15" customHeight="1">
      <c r="B6" s="1976"/>
      <c r="C6" s="1978" t="s">
        <v>448</v>
      </c>
      <c r="D6" s="1978"/>
      <c r="E6" s="1978"/>
      <c r="F6" s="1978"/>
      <c r="G6" s="1978"/>
      <c r="H6" s="1978"/>
      <c r="I6" s="1978"/>
      <c r="J6" s="1978"/>
      <c r="K6" s="1977"/>
    </row>
    <row r="7" spans="2:11">
      <c r="B7" s="1976"/>
      <c r="C7" s="1978"/>
      <c r="D7" s="1978"/>
      <c r="E7" s="1978"/>
      <c r="F7" s="1978"/>
      <c r="G7" s="1978"/>
      <c r="H7" s="1978"/>
      <c r="I7" s="1978"/>
      <c r="J7" s="1978"/>
      <c r="K7" s="1977"/>
    </row>
    <row r="8" spans="2:11">
      <c r="B8" s="1976"/>
      <c r="C8" s="1978"/>
      <c r="D8" s="1978"/>
      <c r="E8" s="1978"/>
      <c r="F8" s="1978"/>
      <c r="G8" s="1978"/>
      <c r="H8" s="1978"/>
      <c r="I8" s="1978"/>
      <c r="J8" s="1978"/>
      <c r="K8" s="1977"/>
    </row>
    <row r="9" spans="2:11">
      <c r="B9" s="1976"/>
      <c r="C9" s="1978"/>
      <c r="D9" s="1978"/>
      <c r="E9" s="1978"/>
      <c r="F9" s="1978"/>
      <c r="G9" s="1978"/>
      <c r="H9" s="1978"/>
      <c r="I9" s="1978"/>
      <c r="J9" s="1978"/>
      <c r="K9" s="1977"/>
    </row>
    <row r="10" spans="2:11">
      <c r="B10" s="1976"/>
      <c r="C10" s="1978"/>
      <c r="D10" s="1978"/>
      <c r="E10" s="1978"/>
      <c r="F10" s="1978"/>
      <c r="G10" s="1978"/>
      <c r="H10" s="1978"/>
      <c r="I10" s="1978"/>
      <c r="J10" s="1978"/>
      <c r="K10" s="1977"/>
    </row>
    <row r="11" spans="2:11">
      <c r="B11" s="1976"/>
      <c r="C11" s="1976"/>
      <c r="D11" s="1976"/>
      <c r="E11" s="1976"/>
      <c r="F11" s="1976"/>
      <c r="G11" s="1976"/>
      <c r="H11" s="1976"/>
      <c r="I11" s="1976"/>
      <c r="J11" s="1976"/>
      <c r="K11" s="1976"/>
    </row>
    <row r="12" spans="2:11" ht="14.4" customHeight="1">
      <c r="B12" s="1976"/>
      <c r="C12" s="1984" t="s">
        <v>451</v>
      </c>
      <c r="D12" s="1984"/>
      <c r="E12" s="1984"/>
      <c r="F12" s="1985" t="str">
        <f>IF(ISBLANK('Project Information'!M12),"",'Project Information'!M12)</f>
        <v/>
      </c>
      <c r="G12" s="1985"/>
      <c r="H12" s="1983"/>
      <c r="I12" s="1983"/>
      <c r="J12" s="1983"/>
      <c r="K12" s="1977"/>
    </row>
    <row r="13" spans="2:11">
      <c r="B13" s="1976"/>
      <c r="C13" s="205"/>
      <c r="D13" s="205"/>
      <c r="E13" s="205"/>
      <c r="F13" s="205"/>
      <c r="G13" s="205"/>
      <c r="H13" s="1983"/>
      <c r="I13" s="1983"/>
      <c r="J13" s="1983"/>
      <c r="K13" s="1977"/>
    </row>
    <row r="14" spans="2:11">
      <c r="B14" s="1976"/>
      <c r="C14" s="1002" t="s">
        <v>449</v>
      </c>
      <c r="D14" s="1002"/>
      <c r="E14" s="1002"/>
      <c r="F14" s="1002"/>
      <c r="G14" s="207">
        <f>('Work Scope'!H82-'Work Scope'!S82)+('Work Scope'!H83-'Work Scope'!S83)</f>
        <v>0</v>
      </c>
      <c r="H14" s="1983"/>
      <c r="I14" s="1983"/>
      <c r="J14" s="1983"/>
      <c r="K14" s="1977"/>
    </row>
    <row r="15" spans="2:11" ht="3" customHeight="1">
      <c r="B15" s="1976"/>
      <c r="C15" s="205"/>
      <c r="D15" s="205"/>
      <c r="E15" s="205"/>
      <c r="F15" s="205"/>
      <c r="G15" s="205"/>
      <c r="H15" s="1983"/>
      <c r="I15" s="1983"/>
      <c r="J15" s="1983"/>
      <c r="K15" s="1977"/>
    </row>
    <row r="16" spans="2:11" ht="15" thickBot="1">
      <c r="B16" s="1976"/>
      <c r="C16" s="1002" t="s">
        <v>452</v>
      </c>
      <c r="D16" s="1002"/>
      <c r="E16" s="1002"/>
      <c r="F16" s="1002"/>
      <c r="G16" s="206"/>
      <c r="H16" s="1983"/>
      <c r="I16" s="1983"/>
      <c r="J16" s="1983"/>
      <c r="K16" s="1977"/>
    </row>
    <row r="17" spans="2:11" ht="3" customHeight="1" thickTop="1">
      <c r="B17" s="1976"/>
      <c r="C17" s="205"/>
      <c r="D17" s="205"/>
      <c r="E17" s="205"/>
      <c r="F17" s="205"/>
      <c r="G17" s="205"/>
      <c r="H17" s="1983"/>
      <c r="I17" s="1983"/>
      <c r="J17" s="1983"/>
      <c r="K17" s="1977"/>
    </row>
    <row r="18" spans="2:11">
      <c r="B18" s="1976"/>
      <c r="C18" s="1002" t="s">
        <v>450</v>
      </c>
      <c r="D18" s="1002"/>
      <c r="E18" s="1002"/>
      <c r="F18" s="1002"/>
      <c r="G18" s="207">
        <f>G14-G16</f>
        <v>0</v>
      </c>
      <c r="H18" s="1983"/>
      <c r="I18" s="1983"/>
      <c r="J18" s="1983"/>
      <c r="K18" s="1977"/>
    </row>
    <row r="19" spans="2:11" ht="45" customHeight="1">
      <c r="B19" s="1976"/>
      <c r="C19" s="1979" t="s">
        <v>933</v>
      </c>
      <c r="D19" s="1979"/>
      <c r="E19" s="1981"/>
      <c r="F19" s="1981"/>
      <c r="G19" s="1981"/>
      <c r="H19" s="1981"/>
      <c r="I19" s="1981"/>
      <c r="J19" s="1981"/>
      <c r="K19" s="1977"/>
    </row>
    <row r="20" spans="2:11" ht="45" customHeight="1">
      <c r="B20" s="204"/>
      <c r="C20" s="1979" t="s">
        <v>455</v>
      </c>
      <c r="D20" s="1979"/>
      <c r="E20" s="1982"/>
      <c r="F20" s="1982"/>
      <c r="G20" s="1982"/>
      <c r="H20" s="1982"/>
      <c r="I20" s="1982"/>
      <c r="J20" s="1982"/>
      <c r="K20" s="204"/>
    </row>
    <row r="21" spans="2:11" ht="45" customHeight="1">
      <c r="B21" s="204"/>
      <c r="C21" s="1979" t="s">
        <v>454</v>
      </c>
      <c r="D21" s="1979"/>
      <c r="E21" s="1980"/>
      <c r="F21" s="1980"/>
      <c r="G21" s="204"/>
      <c r="H21" s="204"/>
      <c r="I21" s="204"/>
      <c r="J21" s="204"/>
      <c r="K21" s="204"/>
    </row>
    <row r="22" spans="2:11">
      <c r="B22" s="1976"/>
      <c r="C22" s="1976"/>
      <c r="D22" s="1976"/>
      <c r="E22" s="1976"/>
      <c r="F22" s="1976"/>
      <c r="G22" s="1976"/>
      <c r="H22" s="1976"/>
      <c r="I22" s="1976"/>
      <c r="J22" s="1976"/>
      <c r="K22" s="1976"/>
    </row>
    <row r="23" spans="2:11">
      <c r="B23" s="1976"/>
      <c r="C23" s="1976"/>
      <c r="D23" s="1976"/>
      <c r="E23" s="1976"/>
      <c r="F23" s="1976"/>
      <c r="G23" s="1976"/>
      <c r="H23" s="1976"/>
      <c r="I23" s="1976"/>
      <c r="J23" s="1976"/>
      <c r="K23" s="1976"/>
    </row>
    <row r="24" spans="2:11">
      <c r="B24" s="1976"/>
      <c r="C24" s="1976"/>
      <c r="D24" s="1976"/>
      <c r="E24" s="1976"/>
      <c r="F24" s="1976"/>
      <c r="G24" s="1976"/>
      <c r="H24" s="1976"/>
      <c r="I24" s="1976"/>
      <c r="J24" s="1976"/>
      <c r="K24" s="1976"/>
    </row>
    <row r="25" spans="2:11">
      <c r="B25" s="1976"/>
      <c r="C25" s="1976"/>
      <c r="D25" s="1976"/>
      <c r="E25" s="1976"/>
      <c r="F25" s="1976"/>
      <c r="G25" s="1976"/>
      <c r="H25" s="1976"/>
      <c r="I25" s="1976"/>
      <c r="J25" s="1976"/>
      <c r="K25" s="1976"/>
    </row>
    <row r="26" spans="2:11">
      <c r="B26" s="1976"/>
      <c r="C26" s="1976"/>
      <c r="D26" s="1976"/>
      <c r="E26" s="1976"/>
      <c r="F26" s="1976"/>
      <c r="G26" s="1976"/>
      <c r="H26" s="1976"/>
      <c r="I26" s="1976"/>
      <c r="J26" s="1976"/>
      <c r="K26" s="1976"/>
    </row>
    <row r="27" spans="2:11">
      <c r="B27" s="1976"/>
      <c r="C27" s="1976"/>
      <c r="D27" s="1976"/>
      <c r="E27" s="1976"/>
      <c r="F27" s="1976"/>
      <c r="G27" s="1976"/>
      <c r="H27" s="1976"/>
      <c r="I27" s="1976"/>
      <c r="J27" s="1976"/>
      <c r="K27" s="1976"/>
    </row>
    <row r="28" spans="2:11">
      <c r="B28" s="1976"/>
      <c r="C28" s="1976"/>
      <c r="D28" s="1976"/>
      <c r="E28" s="1976"/>
      <c r="F28" s="1976"/>
      <c r="G28" s="1976"/>
      <c r="H28" s="1976"/>
      <c r="I28" s="1976"/>
      <c r="J28" s="1976"/>
      <c r="K28" s="1976"/>
    </row>
    <row r="29" spans="2:11">
      <c r="B29" s="1976"/>
      <c r="C29" s="1976"/>
      <c r="D29" s="1976"/>
      <c r="E29" s="1976"/>
      <c r="F29" s="1976"/>
      <c r="G29" s="1976"/>
      <c r="H29" s="1976"/>
      <c r="I29" s="1976"/>
      <c r="J29" s="1976"/>
      <c r="K29" s="1976"/>
    </row>
    <row r="30" spans="2:11">
      <c r="B30" s="1976"/>
      <c r="C30" s="1976"/>
      <c r="D30" s="1976"/>
      <c r="E30" s="1976"/>
      <c r="F30" s="1976"/>
      <c r="G30" s="1976"/>
      <c r="H30" s="1976"/>
      <c r="I30" s="1976"/>
      <c r="J30" s="1976"/>
      <c r="K30" s="1976"/>
    </row>
    <row r="31" spans="2:11">
      <c r="B31" s="1976"/>
      <c r="C31" s="1976"/>
      <c r="D31" s="1976"/>
      <c r="E31" s="1976"/>
      <c r="F31" s="1976"/>
      <c r="G31" s="1976"/>
      <c r="H31" s="1976"/>
      <c r="I31" s="1976"/>
      <c r="J31" s="1976"/>
      <c r="K31" s="1976"/>
    </row>
    <row r="32" spans="2:11">
      <c r="B32" s="1976"/>
      <c r="C32" s="1976"/>
      <c r="D32" s="1976"/>
      <c r="E32" s="1976"/>
      <c r="F32" s="1976"/>
      <c r="G32" s="1976"/>
      <c r="H32" s="1976"/>
      <c r="I32" s="1976"/>
      <c r="J32" s="1976"/>
      <c r="K32" s="1976"/>
    </row>
    <row r="33" spans="2:11">
      <c r="B33" s="1976"/>
      <c r="C33" s="1976"/>
      <c r="D33" s="1976"/>
      <c r="E33" s="1976"/>
      <c r="F33" s="1976"/>
      <c r="G33" s="1976"/>
      <c r="H33" s="1976"/>
      <c r="I33" s="1976"/>
      <c r="J33" s="1976"/>
      <c r="K33" s="1976"/>
    </row>
    <row r="34" spans="2:11">
      <c r="B34" s="4"/>
      <c r="C34" s="4"/>
      <c r="D34" s="4"/>
      <c r="E34" s="4"/>
      <c r="F34" s="4"/>
      <c r="G34" s="4"/>
      <c r="H34" s="4"/>
      <c r="I34" s="4"/>
      <c r="J34" s="4"/>
      <c r="K34" s="4"/>
    </row>
    <row r="35" spans="2:11">
      <c r="B35" s="4"/>
      <c r="C35" s="4"/>
      <c r="D35" s="4"/>
      <c r="E35" s="4"/>
      <c r="F35" s="4"/>
      <c r="G35" s="4"/>
      <c r="H35" s="4"/>
      <c r="I35" s="4"/>
      <c r="J35" s="4"/>
      <c r="K35" s="4"/>
    </row>
    <row r="36" spans="2:11">
      <c r="B36" s="4"/>
      <c r="C36" s="4"/>
      <c r="D36" s="4"/>
      <c r="E36" s="4"/>
      <c r="F36" s="4"/>
      <c r="G36" s="4"/>
      <c r="H36" s="4"/>
      <c r="I36" s="4"/>
      <c r="J36" s="4"/>
      <c r="K36" s="4"/>
    </row>
    <row r="37" spans="2:11">
      <c r="B37" s="4"/>
      <c r="C37" s="4"/>
      <c r="D37" s="4"/>
      <c r="E37" s="4"/>
      <c r="F37" s="4"/>
      <c r="G37" s="4"/>
      <c r="H37" s="4"/>
      <c r="I37" s="4"/>
      <c r="J37" s="4"/>
      <c r="K37" s="4"/>
    </row>
    <row r="38" spans="2:11">
      <c r="B38" s="4"/>
      <c r="C38" s="4"/>
      <c r="D38" s="4"/>
      <c r="E38" s="4"/>
      <c r="F38" s="4"/>
      <c r="G38" s="4"/>
      <c r="H38" s="4"/>
      <c r="I38" s="4"/>
      <c r="J38" s="4"/>
      <c r="K38" s="4"/>
    </row>
    <row r="39" spans="2:11">
      <c r="B39" s="4"/>
      <c r="C39" s="4"/>
      <c r="D39" s="4"/>
      <c r="E39" s="4"/>
      <c r="F39" s="4"/>
      <c r="G39" s="4"/>
      <c r="H39" s="4"/>
      <c r="I39" s="4"/>
      <c r="J39" s="4"/>
      <c r="K39" s="4"/>
    </row>
    <row r="40" spans="2:11">
      <c r="B40" s="4"/>
      <c r="C40" s="4"/>
      <c r="D40" s="4"/>
      <c r="E40" s="4"/>
      <c r="F40" s="4"/>
      <c r="G40" s="4"/>
      <c r="H40" s="4"/>
      <c r="I40" s="4"/>
      <c r="J40" s="4"/>
      <c r="K40" s="4"/>
    </row>
    <row r="41" spans="2:11">
      <c r="B41" s="4"/>
      <c r="C41" s="4"/>
      <c r="D41" s="4"/>
      <c r="E41" s="4"/>
      <c r="F41" s="4"/>
      <c r="G41" s="4"/>
      <c r="H41" s="4"/>
      <c r="I41" s="4"/>
      <c r="J41" s="4"/>
      <c r="K41" s="4"/>
    </row>
    <row r="42" spans="2:11">
      <c r="B42" s="4"/>
      <c r="C42" s="4"/>
      <c r="D42" s="4"/>
      <c r="E42" s="4"/>
      <c r="F42" s="4"/>
      <c r="G42" s="4"/>
      <c r="H42" s="4"/>
      <c r="I42" s="4"/>
      <c r="J42" s="4"/>
      <c r="K42" s="4"/>
    </row>
  </sheetData>
  <sheetProtection algorithmName="SHA-512" hashValue="muRb2GV9sdBNlQwUStdsRcm3mXp+rq2f8bAiJPxCtcwG79NyWVdvyt07ybbLbwGqpfZciO1P8mFVIGZU3ul2aw==" saltValue="0TZmvfwSqtIomVrTnMhryQ==" spinCount="100000" sheet="1" selectLockedCells="1"/>
  <mergeCells count="21">
    <mergeCell ref="C21:D21"/>
    <mergeCell ref="E21:F21"/>
    <mergeCell ref="B22:K33"/>
    <mergeCell ref="C20:D20"/>
    <mergeCell ref="C19:D19"/>
    <mergeCell ref="B12:B19"/>
    <mergeCell ref="K12:K19"/>
    <mergeCell ref="C14:F14"/>
    <mergeCell ref="C16:F16"/>
    <mergeCell ref="C18:F18"/>
    <mergeCell ref="E19:J19"/>
    <mergeCell ref="E20:J20"/>
    <mergeCell ref="H12:J18"/>
    <mergeCell ref="C12:E12"/>
    <mergeCell ref="F12:G12"/>
    <mergeCell ref="B1:K4"/>
    <mergeCell ref="B5:K5"/>
    <mergeCell ref="B6:B10"/>
    <mergeCell ref="K6:K10"/>
    <mergeCell ref="B11:K11"/>
    <mergeCell ref="C6:J10"/>
  </mergeCells>
  <conditionalFormatting sqref="G16">
    <cfRule type="cellIs" dxfId="0" priority="1" operator="greaterThan">
      <formula>1000</formula>
    </cfRule>
  </conditionalFormatting>
  <pageMargins left="0.7" right="0.7" top="0.75" bottom="0.75" header="0.3" footer="0.3"/>
  <pageSetup orientation="portrait" horizontalDpi="1200" verticalDpi="120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2D36C-9016-4854-A272-6F7BCAF225E5}">
  <sheetPr>
    <pageSetUpPr fitToPage="1"/>
  </sheetPr>
  <dimension ref="A1:I98"/>
  <sheetViews>
    <sheetView zoomScaleNormal="100" workbookViewId="0">
      <pane ySplit="4" topLeftCell="A5" activePane="bottomLeft" state="frozen"/>
      <selection pane="bottomLeft" sqref="A1:G1"/>
    </sheetView>
  </sheetViews>
  <sheetFormatPr defaultColWidth="9.109375" defaultRowHeight="14.4"/>
  <cols>
    <col min="1" max="1" width="29.44140625" bestFit="1" customWidth="1"/>
    <col min="2" max="4" width="12" style="15" customWidth="1"/>
    <col min="5" max="5" width="12" style="176" customWidth="1"/>
    <col min="6" max="6" width="8.6640625" style="6" bestFit="1" customWidth="1"/>
    <col min="7" max="7" width="100.6640625" customWidth="1"/>
    <col min="8" max="8" width="10.6640625" bestFit="1" customWidth="1"/>
    <col min="9" max="9" width="10.5546875" bestFit="1" customWidth="1"/>
  </cols>
  <sheetData>
    <row r="1" spans="1:8" ht="23.4" customHeight="1">
      <c r="A1" s="2000" t="s">
        <v>366</v>
      </c>
      <c r="B1" s="2000"/>
      <c r="C1" s="2000"/>
      <c r="D1" s="2000"/>
      <c r="E1" s="2000"/>
      <c r="F1" s="2000"/>
      <c r="G1" s="2000"/>
    </row>
    <row r="2" spans="1:8">
      <c r="A2" s="2001" t="s">
        <v>231</v>
      </c>
      <c r="B2" s="2002"/>
      <c r="C2" s="2002"/>
      <c r="D2" s="2002"/>
      <c r="E2" s="2002"/>
      <c r="F2" s="2002"/>
      <c r="G2" s="2003"/>
      <c r="H2" s="24"/>
    </row>
    <row r="3" spans="1:8">
      <c r="A3" s="2004"/>
      <c r="B3" s="2005"/>
      <c r="C3" s="2005"/>
      <c r="D3" s="2005"/>
      <c r="E3" s="2005"/>
      <c r="F3" s="2005"/>
      <c r="G3" s="2006"/>
    </row>
    <row r="4" spans="1:8" s="32" customFormat="1" ht="30" customHeight="1">
      <c r="A4" s="25" t="s">
        <v>47</v>
      </c>
      <c r="B4" s="26" t="s">
        <v>232</v>
      </c>
      <c r="C4" s="27" t="s">
        <v>233</v>
      </c>
      <c r="D4" s="28" t="s">
        <v>234</v>
      </c>
      <c r="E4" s="29" t="s">
        <v>235</v>
      </c>
      <c r="F4" s="30" t="s">
        <v>236</v>
      </c>
      <c r="G4" s="31" t="s">
        <v>237</v>
      </c>
    </row>
    <row r="5" spans="1:8" s="38" customFormat="1" ht="16.95" customHeight="1">
      <c r="A5" s="33" t="s">
        <v>238</v>
      </c>
      <c r="B5" s="34"/>
      <c r="C5" s="34"/>
      <c r="D5" s="34"/>
      <c r="E5" s="35"/>
      <c r="F5" s="36"/>
      <c r="G5" s="37"/>
    </row>
    <row r="6" spans="1:8" ht="75" customHeight="1">
      <c r="A6" s="39" t="s">
        <v>239</v>
      </c>
      <c r="B6" s="40">
        <v>0.95</v>
      </c>
      <c r="C6" s="41">
        <f>B6</f>
        <v>0.95</v>
      </c>
      <c r="D6" s="42">
        <f>Measures!C3</f>
        <v>0.95</v>
      </c>
      <c r="E6" s="43">
        <f>Measures!D3</f>
        <v>0.7</v>
      </c>
      <c r="F6" s="44" t="s">
        <v>240</v>
      </c>
      <c r="G6" s="45" t="s">
        <v>241</v>
      </c>
    </row>
    <row r="7" spans="1:8" s="51" customFormat="1" ht="75" customHeight="1">
      <c r="A7" s="46" t="s">
        <v>242</v>
      </c>
      <c r="B7" s="40">
        <v>1.9</v>
      </c>
      <c r="C7" s="41">
        <f t="shared" ref="C7:C15" si="0">B7</f>
        <v>1.9</v>
      </c>
      <c r="D7" s="47">
        <f>Measures!C4</f>
        <v>1.7000000000000002</v>
      </c>
      <c r="E7" s="48">
        <f>Measures!D4</f>
        <v>1.1000000000000001</v>
      </c>
      <c r="F7" s="49" t="s">
        <v>126</v>
      </c>
      <c r="G7" s="50" t="s">
        <v>243</v>
      </c>
    </row>
    <row r="8" spans="1:8" s="51" customFormat="1" ht="75" customHeight="1">
      <c r="A8" s="52" t="s">
        <v>1493</v>
      </c>
      <c r="B8" s="40">
        <v>1.55</v>
      </c>
      <c r="C8" s="41">
        <f t="shared" si="0"/>
        <v>1.55</v>
      </c>
      <c r="D8" s="47">
        <f>Measures!C5</f>
        <v>1.4000000000000001</v>
      </c>
      <c r="E8" s="48">
        <f>Measures!D5</f>
        <v>1.1000000000000001</v>
      </c>
      <c r="F8" s="53" t="s">
        <v>126</v>
      </c>
      <c r="G8" s="50" t="s">
        <v>243</v>
      </c>
    </row>
    <row r="9" spans="1:8" s="51" customFormat="1" ht="75" customHeight="1">
      <c r="A9" s="52" t="s">
        <v>1494</v>
      </c>
      <c r="B9" s="40">
        <v>1.2</v>
      </c>
      <c r="C9" s="41">
        <f t="shared" ref="C9" si="1">B9</f>
        <v>1.2</v>
      </c>
      <c r="D9" s="47">
        <f>Measures!C6</f>
        <v>1.1000000000000001</v>
      </c>
      <c r="E9" s="48">
        <f>Measures!D6</f>
        <v>0</v>
      </c>
      <c r="F9" s="53" t="s">
        <v>126</v>
      </c>
      <c r="G9" s="50" t="s">
        <v>1502</v>
      </c>
    </row>
    <row r="10" spans="1:8" s="51" customFormat="1" ht="46.5" customHeight="1">
      <c r="A10" s="52" t="s">
        <v>38</v>
      </c>
      <c r="B10" s="40">
        <v>5.05</v>
      </c>
      <c r="C10" s="54">
        <f t="shared" si="0"/>
        <v>5.05</v>
      </c>
      <c r="D10" s="47">
        <f>Measures!C7</f>
        <v>4.55</v>
      </c>
      <c r="E10" s="48">
        <f>Measures!D7</f>
        <v>1.1000000000000001</v>
      </c>
      <c r="F10" s="53" t="s">
        <v>126</v>
      </c>
      <c r="G10" s="50" t="s">
        <v>244</v>
      </c>
    </row>
    <row r="11" spans="1:8" s="51" customFormat="1" ht="46.95" customHeight="1">
      <c r="A11" s="52" t="s">
        <v>245</v>
      </c>
      <c r="B11" s="40">
        <v>2.2999999999999998</v>
      </c>
      <c r="C11" s="41">
        <f t="shared" si="0"/>
        <v>2.2999999999999998</v>
      </c>
      <c r="D11" s="47">
        <f>Measures!C8</f>
        <v>2.0500000000000003</v>
      </c>
      <c r="E11" s="48">
        <f>Measures!D8</f>
        <v>1.1000000000000001</v>
      </c>
      <c r="F11" s="53" t="s">
        <v>126</v>
      </c>
      <c r="G11" s="55" t="s">
        <v>246</v>
      </c>
    </row>
    <row r="12" spans="1:8" s="51" customFormat="1" ht="45" customHeight="1">
      <c r="A12" s="56" t="s">
        <v>247</v>
      </c>
      <c r="B12" s="40">
        <v>5.05</v>
      </c>
      <c r="C12" s="54">
        <f t="shared" si="0"/>
        <v>5.05</v>
      </c>
      <c r="D12" s="47">
        <f>Measures!C9</f>
        <v>4.55</v>
      </c>
      <c r="E12" s="48">
        <f>Measures!D9</f>
        <v>2</v>
      </c>
      <c r="F12" s="53" t="s">
        <v>248</v>
      </c>
      <c r="G12" s="57" t="s">
        <v>249</v>
      </c>
    </row>
    <row r="13" spans="1:8" s="51" customFormat="1" ht="18" customHeight="1">
      <c r="A13" s="58" t="s">
        <v>250</v>
      </c>
      <c r="B13" s="59"/>
      <c r="C13" s="60"/>
      <c r="D13" s="61"/>
      <c r="E13" s="62"/>
      <c r="F13" s="1059" t="s">
        <v>248</v>
      </c>
      <c r="G13" s="2007" t="s">
        <v>251</v>
      </c>
    </row>
    <row r="14" spans="1:8" ht="18" customHeight="1">
      <c r="A14" s="63" t="s">
        <v>252</v>
      </c>
      <c r="B14" s="40">
        <v>6.95</v>
      </c>
      <c r="C14" s="41">
        <f t="shared" si="0"/>
        <v>6.95</v>
      </c>
      <c r="D14" s="64">
        <f>Measures!C10</f>
        <v>6.25</v>
      </c>
      <c r="E14" s="65">
        <f>Measures!D10</f>
        <v>3</v>
      </c>
      <c r="F14" s="1059"/>
      <c r="G14" s="2007"/>
      <c r="H14" s="9"/>
    </row>
    <row r="15" spans="1:8" ht="18" customHeight="1">
      <c r="A15" s="66" t="s">
        <v>253</v>
      </c>
      <c r="B15" s="59">
        <v>8.85</v>
      </c>
      <c r="C15" s="41">
        <f t="shared" si="0"/>
        <v>8.85</v>
      </c>
      <c r="D15" s="67">
        <f>Measures!C11</f>
        <v>7.95</v>
      </c>
      <c r="E15" s="68">
        <f>Measures!D11</f>
        <v>3</v>
      </c>
      <c r="F15" s="1059"/>
      <c r="G15" s="2007"/>
    </row>
    <row r="16" spans="1:8" s="38" customFormat="1" ht="16.5" customHeight="1">
      <c r="A16" s="2008" t="s">
        <v>254</v>
      </c>
      <c r="B16" s="2009"/>
      <c r="C16" s="2009"/>
      <c r="D16" s="2009"/>
      <c r="E16" s="2009"/>
      <c r="F16" s="2009"/>
      <c r="G16" s="2010"/>
    </row>
    <row r="17" spans="1:7" s="51" customFormat="1" ht="75" customHeight="1">
      <c r="A17" s="69" t="s">
        <v>255</v>
      </c>
      <c r="B17" s="40">
        <v>480</v>
      </c>
      <c r="C17" s="70"/>
      <c r="D17" s="71"/>
      <c r="E17" s="72"/>
      <c r="F17" s="73" t="s">
        <v>256</v>
      </c>
      <c r="G17" s="74" t="s">
        <v>257</v>
      </c>
    </row>
    <row r="18" spans="1:7" s="51" customFormat="1" ht="60" customHeight="1">
      <c r="A18" s="75" t="s">
        <v>258</v>
      </c>
      <c r="B18" s="40">
        <v>132</v>
      </c>
      <c r="C18" s="70"/>
      <c r="D18" s="71"/>
      <c r="E18" s="72"/>
      <c r="F18" s="76" t="s">
        <v>126</v>
      </c>
      <c r="G18" s="74" t="s">
        <v>259</v>
      </c>
    </row>
    <row r="19" spans="1:7" s="51" customFormat="1" ht="75" customHeight="1">
      <c r="A19" s="77" t="s">
        <v>260</v>
      </c>
      <c r="B19" s="40">
        <v>100</v>
      </c>
      <c r="C19" s="78"/>
      <c r="D19" s="79"/>
      <c r="E19" s="80"/>
      <c r="F19" s="81" t="s">
        <v>261</v>
      </c>
      <c r="G19" s="82" t="s">
        <v>262</v>
      </c>
    </row>
    <row r="20" spans="1:7" s="38" customFormat="1" ht="45" customHeight="1">
      <c r="A20" s="83" t="s">
        <v>263</v>
      </c>
      <c r="B20" s="40">
        <v>290</v>
      </c>
      <c r="C20" s="78"/>
      <c r="D20" s="79"/>
      <c r="E20" s="80"/>
      <c r="F20" s="81" t="s">
        <v>261</v>
      </c>
      <c r="G20" s="82" t="s">
        <v>264</v>
      </c>
    </row>
    <row r="21" spans="1:7" ht="57.6">
      <c r="A21" s="84" t="s">
        <v>265</v>
      </c>
      <c r="B21" s="40">
        <v>160</v>
      </c>
      <c r="C21" s="70"/>
      <c r="D21" s="71"/>
      <c r="E21" s="72"/>
      <c r="F21" s="73" t="s">
        <v>261</v>
      </c>
      <c r="G21" s="74" t="s">
        <v>266</v>
      </c>
    </row>
    <row r="22" spans="1:7" ht="45" customHeight="1">
      <c r="A22" s="75" t="s">
        <v>267</v>
      </c>
      <c r="B22" s="40">
        <v>6.35</v>
      </c>
      <c r="C22" s="85"/>
      <c r="D22" s="86"/>
      <c r="E22" s="87"/>
      <c r="F22" s="76" t="s">
        <v>126</v>
      </c>
      <c r="G22" s="88" t="s">
        <v>268</v>
      </c>
    </row>
    <row r="23" spans="1:7" ht="28.2" customHeight="1">
      <c r="A23" s="75" t="s">
        <v>269</v>
      </c>
      <c r="B23" s="40">
        <v>173</v>
      </c>
      <c r="C23" s="85"/>
      <c r="D23" s="86"/>
      <c r="E23" s="87"/>
      <c r="F23" s="23" t="s">
        <v>261</v>
      </c>
      <c r="G23" s="89" t="s">
        <v>270</v>
      </c>
    </row>
    <row r="24" spans="1:7" ht="28.8">
      <c r="A24" s="75" t="s">
        <v>271</v>
      </c>
      <c r="B24" s="40">
        <v>390</v>
      </c>
      <c r="C24" s="85"/>
      <c r="D24" s="86"/>
      <c r="E24" s="87"/>
      <c r="F24" s="23" t="s">
        <v>261</v>
      </c>
      <c r="G24" s="89" t="s">
        <v>272</v>
      </c>
    </row>
    <row r="25" spans="1:7" ht="28.8">
      <c r="A25" s="69" t="s">
        <v>273</v>
      </c>
      <c r="B25" s="90"/>
      <c r="C25" s="70"/>
      <c r="D25" s="71"/>
      <c r="E25" s="72"/>
      <c r="F25" s="73" t="s">
        <v>261</v>
      </c>
      <c r="G25" s="74" t="s">
        <v>274</v>
      </c>
    </row>
    <row r="26" spans="1:7" ht="28.2" customHeight="1">
      <c r="A26" s="69" t="s">
        <v>1499</v>
      </c>
      <c r="B26" s="90">
        <v>400</v>
      </c>
      <c r="C26" s="70"/>
      <c r="D26" s="71"/>
      <c r="E26" s="72"/>
      <c r="F26" s="73" t="s">
        <v>261</v>
      </c>
      <c r="G26" s="74" t="s">
        <v>1501</v>
      </c>
    </row>
    <row r="27" spans="1:7" ht="57.6">
      <c r="A27" s="75" t="s">
        <v>275</v>
      </c>
      <c r="B27" s="40">
        <v>190</v>
      </c>
      <c r="C27" s="70"/>
      <c r="D27" s="71"/>
      <c r="E27" s="72"/>
      <c r="F27" s="23" t="s">
        <v>261</v>
      </c>
      <c r="G27" s="74" t="s">
        <v>276</v>
      </c>
    </row>
    <row r="28" spans="1:7" ht="43.2">
      <c r="A28" s="75" t="s">
        <v>277</v>
      </c>
      <c r="B28" s="40">
        <v>4.8499999999999996</v>
      </c>
      <c r="C28" s="85"/>
      <c r="D28" s="86"/>
      <c r="E28" s="87"/>
      <c r="F28" s="76" t="s">
        <v>126</v>
      </c>
      <c r="G28" s="89" t="s">
        <v>278</v>
      </c>
    </row>
    <row r="29" spans="1:7" ht="28.8">
      <c r="A29" s="69" t="s">
        <v>279</v>
      </c>
      <c r="B29" s="90"/>
      <c r="C29" s="70"/>
      <c r="D29" s="71"/>
      <c r="E29" s="72"/>
      <c r="F29" s="73" t="s">
        <v>126</v>
      </c>
      <c r="G29" s="74" t="s">
        <v>280</v>
      </c>
    </row>
    <row r="30" spans="1:7" ht="28.95" customHeight="1">
      <c r="A30" s="75" t="s">
        <v>281</v>
      </c>
      <c r="B30" s="40">
        <v>80</v>
      </c>
      <c r="C30" s="85"/>
      <c r="D30" s="86"/>
      <c r="E30" s="87"/>
      <c r="F30" s="23" t="s">
        <v>261</v>
      </c>
      <c r="G30" s="89" t="s">
        <v>282</v>
      </c>
    </row>
    <row r="31" spans="1:7" ht="28.95" customHeight="1">
      <c r="A31" s="75" t="s">
        <v>283</v>
      </c>
      <c r="B31" s="40">
        <v>240</v>
      </c>
      <c r="C31" s="85"/>
      <c r="D31" s="86"/>
      <c r="E31" s="87"/>
      <c r="F31" s="23" t="s">
        <v>261</v>
      </c>
      <c r="G31" s="89" t="s">
        <v>284</v>
      </c>
    </row>
    <row r="32" spans="1:7" ht="28.8">
      <c r="A32" s="75" t="s">
        <v>285</v>
      </c>
      <c r="B32" s="40">
        <v>6.55</v>
      </c>
      <c r="C32" s="85"/>
      <c r="D32" s="86"/>
      <c r="E32" s="87"/>
      <c r="F32" s="23" t="s">
        <v>248</v>
      </c>
      <c r="G32" s="89" t="s">
        <v>286</v>
      </c>
    </row>
    <row r="33" spans="1:9" ht="28.8">
      <c r="A33" s="69" t="s">
        <v>287</v>
      </c>
      <c r="B33" s="40">
        <v>415</v>
      </c>
      <c r="C33" s="70"/>
      <c r="D33" s="71"/>
      <c r="E33" s="72"/>
      <c r="F33" s="73" t="s">
        <v>261</v>
      </c>
      <c r="G33" s="74" t="s">
        <v>288</v>
      </c>
    </row>
    <row r="34" spans="1:9">
      <c r="A34" s="69" t="s">
        <v>289</v>
      </c>
      <c r="B34" s="40">
        <v>5.05</v>
      </c>
      <c r="C34" s="70"/>
      <c r="D34" s="71"/>
      <c r="E34" s="72"/>
      <c r="F34" s="73" t="s">
        <v>290</v>
      </c>
      <c r="G34" s="74" t="s">
        <v>291</v>
      </c>
    </row>
    <row r="35" spans="1:9" ht="28.5" customHeight="1">
      <c r="A35" s="91" t="s">
        <v>292</v>
      </c>
      <c r="B35" s="40">
        <v>0.4</v>
      </c>
      <c r="C35" s="92"/>
      <c r="D35" s="93"/>
      <c r="E35" s="94"/>
      <c r="F35" s="76" t="s">
        <v>126</v>
      </c>
      <c r="G35" s="95" t="s">
        <v>293</v>
      </c>
    </row>
    <row r="36" spans="1:9" ht="28.5" customHeight="1">
      <c r="A36" s="91" t="s">
        <v>294</v>
      </c>
      <c r="B36" s="40">
        <v>1.3</v>
      </c>
      <c r="C36" s="96"/>
      <c r="D36" s="97"/>
      <c r="E36" s="98"/>
      <c r="F36" s="76" t="s">
        <v>126</v>
      </c>
      <c r="G36" s="95" t="s">
        <v>295</v>
      </c>
    </row>
    <row r="37" spans="1:9" ht="28.5" customHeight="1">
      <c r="A37" s="91" t="s">
        <v>296</v>
      </c>
      <c r="B37" s="40">
        <v>0.3</v>
      </c>
      <c r="C37" s="96"/>
      <c r="D37" s="97"/>
      <c r="E37" s="98"/>
      <c r="F37" s="76" t="s">
        <v>126</v>
      </c>
      <c r="G37" s="95" t="s">
        <v>297</v>
      </c>
    </row>
    <row r="38" spans="1:9" ht="28.5" customHeight="1">
      <c r="A38" s="69" t="s">
        <v>298</v>
      </c>
      <c r="B38" s="40">
        <v>380</v>
      </c>
      <c r="C38" s="70"/>
      <c r="D38" s="71"/>
      <c r="E38" s="72"/>
      <c r="F38" s="73" t="s">
        <v>261</v>
      </c>
      <c r="G38" s="74" t="s">
        <v>299</v>
      </c>
    </row>
    <row r="39" spans="1:9" ht="28.5" customHeight="1">
      <c r="A39" s="69" t="s">
        <v>300</v>
      </c>
      <c r="B39" s="40">
        <v>570</v>
      </c>
      <c r="C39" s="70"/>
      <c r="D39" s="71"/>
      <c r="E39" s="72"/>
      <c r="F39" s="73" t="s">
        <v>261</v>
      </c>
      <c r="G39" s="74" t="s">
        <v>301</v>
      </c>
    </row>
    <row r="40" spans="1:9" ht="28.5" customHeight="1">
      <c r="A40" s="75" t="s">
        <v>302</v>
      </c>
      <c r="B40" s="99">
        <v>505</v>
      </c>
      <c r="C40" s="70"/>
      <c r="D40" s="71"/>
      <c r="E40" s="72"/>
      <c r="F40" s="23" t="s">
        <v>261</v>
      </c>
      <c r="G40" s="74" t="s">
        <v>303</v>
      </c>
    </row>
    <row r="41" spans="1:9" ht="28.5" customHeight="1">
      <c r="A41" s="75" t="s">
        <v>304</v>
      </c>
      <c r="B41" s="99">
        <v>112</v>
      </c>
      <c r="C41" s="85"/>
      <c r="D41" s="86"/>
      <c r="E41" s="87"/>
      <c r="F41" s="23" t="s">
        <v>261</v>
      </c>
      <c r="G41" s="89" t="s">
        <v>305</v>
      </c>
    </row>
    <row r="42" spans="1:9" ht="28.5" customHeight="1">
      <c r="A42" s="69" t="s">
        <v>306</v>
      </c>
      <c r="B42" s="100"/>
      <c r="C42" s="70"/>
      <c r="D42" s="71"/>
      <c r="E42" s="72"/>
      <c r="F42" s="73" t="s">
        <v>261</v>
      </c>
      <c r="G42" s="74" t="s">
        <v>307</v>
      </c>
    </row>
    <row r="43" spans="1:9" ht="28.5" customHeight="1">
      <c r="A43" s="75" t="s">
        <v>308</v>
      </c>
      <c r="B43" s="40">
        <v>98</v>
      </c>
      <c r="C43" s="101"/>
      <c r="D43" s="102"/>
      <c r="E43" s="103"/>
      <c r="F43" s="23" t="s">
        <v>261</v>
      </c>
      <c r="G43" s="89" t="s">
        <v>309</v>
      </c>
    </row>
    <row r="44" spans="1:9" ht="21.6" customHeight="1">
      <c r="A44" s="104" t="s">
        <v>310</v>
      </c>
      <c r="B44" s="105"/>
      <c r="C44" s="105"/>
      <c r="D44" s="105"/>
      <c r="E44" s="105"/>
      <c r="F44" s="106"/>
      <c r="G44" s="107"/>
    </row>
    <row r="45" spans="1:9" ht="15.6" customHeight="1">
      <c r="A45" s="108" t="s">
        <v>311</v>
      </c>
      <c r="B45" s="109"/>
      <c r="C45" s="109"/>
      <c r="D45" s="109"/>
      <c r="E45" s="110"/>
      <c r="F45" s="109"/>
      <c r="G45" s="111"/>
      <c r="I45" s="8"/>
    </row>
    <row r="46" spans="1:9" s="2" customFormat="1" ht="17.399999999999999" customHeight="1">
      <c r="A46" s="112" t="s">
        <v>629</v>
      </c>
      <c r="B46" s="113"/>
      <c r="C46" s="113"/>
      <c r="D46" s="113"/>
      <c r="E46" s="114"/>
      <c r="F46" s="115"/>
      <c r="G46" s="116"/>
      <c r="I46" s="117"/>
    </row>
    <row r="47" spans="1:9">
      <c r="A47" s="63" t="s">
        <v>312</v>
      </c>
      <c r="B47" s="118">
        <v>4300</v>
      </c>
      <c r="C47" s="119">
        <f>B47</f>
        <v>4300</v>
      </c>
      <c r="D47" s="120">
        <v>3870</v>
      </c>
      <c r="E47" s="1993" t="s">
        <v>32</v>
      </c>
      <c r="F47" s="121" t="s">
        <v>261</v>
      </c>
      <c r="G47" s="1999" t="s">
        <v>628</v>
      </c>
      <c r="I47" s="17"/>
    </row>
    <row r="48" spans="1:9">
      <c r="A48" s="63" t="s">
        <v>313</v>
      </c>
      <c r="B48" s="118">
        <v>4450</v>
      </c>
      <c r="C48" s="119">
        <f t="shared" ref="C48:C51" si="2">B48</f>
        <v>4450</v>
      </c>
      <c r="D48" s="120">
        <f>B48*Measures!$C$2</f>
        <v>4005</v>
      </c>
      <c r="E48" s="1994"/>
      <c r="F48" s="121" t="s">
        <v>261</v>
      </c>
      <c r="G48" s="1999"/>
      <c r="I48" s="17"/>
    </row>
    <row r="49" spans="1:9">
      <c r="A49" s="63" t="s">
        <v>314</v>
      </c>
      <c r="B49" s="118">
        <v>4650</v>
      </c>
      <c r="C49" s="119">
        <f t="shared" si="2"/>
        <v>4650</v>
      </c>
      <c r="D49" s="120">
        <f>B49*Measures!$C$2</f>
        <v>4185</v>
      </c>
      <c r="E49" s="1994"/>
      <c r="F49" s="121" t="s">
        <v>261</v>
      </c>
      <c r="G49" s="1999"/>
      <c r="I49" s="17"/>
    </row>
    <row r="50" spans="1:9">
      <c r="A50" s="63" t="s">
        <v>315</v>
      </c>
      <c r="B50" s="118">
        <v>4800</v>
      </c>
      <c r="C50" s="119">
        <f t="shared" si="2"/>
        <v>4800</v>
      </c>
      <c r="D50" s="120">
        <f>B50*Measures!$C$2</f>
        <v>4320</v>
      </c>
      <c r="E50" s="1994"/>
      <c r="F50" s="121" t="s">
        <v>261</v>
      </c>
      <c r="G50" s="1999"/>
      <c r="H50" s="8"/>
      <c r="I50" s="17"/>
    </row>
    <row r="51" spans="1:9" ht="50.4" customHeight="1">
      <c r="A51" s="66" t="s">
        <v>316</v>
      </c>
      <c r="B51" s="122">
        <v>5000</v>
      </c>
      <c r="C51" s="123">
        <f t="shared" si="2"/>
        <v>5000</v>
      </c>
      <c r="D51" s="124">
        <f>B51*Measures!$C$2</f>
        <v>4500</v>
      </c>
      <c r="E51" s="1995"/>
      <c r="F51" s="121" t="s">
        <v>261</v>
      </c>
      <c r="G51" s="1999"/>
      <c r="I51" s="17"/>
    </row>
    <row r="52" spans="1:9" s="2" customFormat="1" ht="17.399999999999999" customHeight="1">
      <c r="A52" s="125" t="s">
        <v>317</v>
      </c>
      <c r="B52" s="126"/>
      <c r="C52" s="126"/>
      <c r="D52" s="126"/>
      <c r="E52" s="127"/>
      <c r="F52" s="128"/>
      <c r="G52" s="129"/>
      <c r="I52" s="117"/>
    </row>
    <row r="53" spans="1:9">
      <c r="A53" s="63" t="s">
        <v>312</v>
      </c>
      <c r="B53" s="118">
        <v>7600</v>
      </c>
      <c r="C53" s="119">
        <f>B53</f>
        <v>7600</v>
      </c>
      <c r="D53" s="120">
        <v>6840</v>
      </c>
      <c r="E53" s="1993" t="s">
        <v>32</v>
      </c>
      <c r="F53" s="121" t="s">
        <v>261</v>
      </c>
      <c r="G53" s="1996" t="s">
        <v>318</v>
      </c>
      <c r="I53" s="17"/>
    </row>
    <row r="54" spans="1:9">
      <c r="A54" s="63" t="s">
        <v>313</v>
      </c>
      <c r="B54" s="118">
        <v>7850</v>
      </c>
      <c r="C54" s="119">
        <f t="shared" ref="C54:C58" si="3">B54</f>
        <v>7850</v>
      </c>
      <c r="D54" s="120">
        <v>7065</v>
      </c>
      <c r="E54" s="1994"/>
      <c r="F54" s="121" t="s">
        <v>261</v>
      </c>
      <c r="G54" s="1996"/>
      <c r="I54" s="17"/>
    </row>
    <row r="55" spans="1:9">
      <c r="A55" s="63" t="s">
        <v>314</v>
      </c>
      <c r="B55" s="118">
        <v>8100</v>
      </c>
      <c r="C55" s="119">
        <f t="shared" si="3"/>
        <v>8100</v>
      </c>
      <c r="D55" s="120">
        <v>7290</v>
      </c>
      <c r="E55" s="1994"/>
      <c r="F55" s="121" t="s">
        <v>261</v>
      </c>
      <c r="G55" s="1996"/>
      <c r="I55" s="17"/>
    </row>
    <row r="56" spans="1:9">
      <c r="A56" s="63" t="s">
        <v>315</v>
      </c>
      <c r="B56" s="118">
        <v>8350</v>
      </c>
      <c r="C56" s="119">
        <f t="shared" si="3"/>
        <v>8350</v>
      </c>
      <c r="D56" s="120">
        <v>7515</v>
      </c>
      <c r="E56" s="1994"/>
      <c r="F56" s="121" t="s">
        <v>261</v>
      </c>
      <c r="G56" s="1996"/>
      <c r="I56" s="17"/>
    </row>
    <row r="57" spans="1:9">
      <c r="A57" s="63" t="s">
        <v>319</v>
      </c>
      <c r="B57" s="118">
        <v>8650</v>
      </c>
      <c r="C57" s="119">
        <f t="shared" si="3"/>
        <v>8650</v>
      </c>
      <c r="D57" s="120">
        <v>7785</v>
      </c>
      <c r="E57" s="1994"/>
      <c r="F57" s="121" t="s">
        <v>261</v>
      </c>
      <c r="G57" s="1996"/>
      <c r="I57" s="17"/>
    </row>
    <row r="58" spans="1:9" ht="15.6" customHeight="1">
      <c r="A58" s="66" t="s">
        <v>320</v>
      </c>
      <c r="B58" s="122">
        <v>8900</v>
      </c>
      <c r="C58" s="123">
        <f t="shared" si="3"/>
        <v>8900</v>
      </c>
      <c r="D58" s="124">
        <v>8010</v>
      </c>
      <c r="E58" s="1995"/>
      <c r="F58" s="121" t="s">
        <v>261</v>
      </c>
      <c r="G58" s="1996"/>
      <c r="I58" s="17"/>
    </row>
    <row r="59" spans="1:9" s="2" customFormat="1" ht="17.399999999999999" customHeight="1">
      <c r="A59" s="125" t="s">
        <v>321</v>
      </c>
      <c r="B59" s="130"/>
      <c r="C59" s="130"/>
      <c r="D59" s="130"/>
      <c r="E59" s="131"/>
      <c r="F59" s="128"/>
      <c r="G59" s="116"/>
      <c r="H59" s="117"/>
    </row>
    <row r="60" spans="1:9">
      <c r="A60" s="132" t="s">
        <v>322</v>
      </c>
      <c r="B60" s="118">
        <v>4550</v>
      </c>
      <c r="C60" s="119">
        <f>B60</f>
        <v>4550</v>
      </c>
      <c r="D60" s="120">
        <v>4095</v>
      </c>
      <c r="E60" s="1997" t="s">
        <v>323</v>
      </c>
      <c r="F60" s="121" t="s">
        <v>261</v>
      </c>
      <c r="G60" s="1998" t="s">
        <v>324</v>
      </c>
      <c r="H60" s="17"/>
    </row>
    <row r="61" spans="1:9">
      <c r="A61" s="132" t="s">
        <v>325</v>
      </c>
      <c r="B61" s="118">
        <v>4750</v>
      </c>
      <c r="C61" s="119">
        <f t="shared" ref="C61:C67" si="4">B61</f>
        <v>4750</v>
      </c>
      <c r="D61" s="120">
        <v>4275</v>
      </c>
      <c r="E61" s="1997"/>
      <c r="F61" s="121" t="s">
        <v>261</v>
      </c>
      <c r="G61" s="1998"/>
      <c r="H61" s="17"/>
    </row>
    <row r="62" spans="1:9">
      <c r="A62" s="132" t="s">
        <v>326</v>
      </c>
      <c r="B62" s="118">
        <v>4950</v>
      </c>
      <c r="C62" s="119">
        <f t="shared" si="4"/>
        <v>4950</v>
      </c>
      <c r="D62" s="120">
        <v>4455</v>
      </c>
      <c r="E62" s="1997"/>
      <c r="F62" s="121" t="s">
        <v>261</v>
      </c>
      <c r="G62" s="1998"/>
      <c r="H62" s="17"/>
    </row>
    <row r="63" spans="1:9">
      <c r="A63" s="132" t="s">
        <v>327</v>
      </c>
      <c r="B63" s="118">
        <v>5300</v>
      </c>
      <c r="C63" s="119">
        <f t="shared" si="4"/>
        <v>5300</v>
      </c>
      <c r="D63" s="120">
        <v>4770</v>
      </c>
      <c r="E63" s="1997"/>
      <c r="F63" s="121" t="s">
        <v>261</v>
      </c>
      <c r="G63" s="1998"/>
      <c r="H63" s="17"/>
    </row>
    <row r="64" spans="1:9">
      <c r="A64" s="132" t="s">
        <v>328</v>
      </c>
      <c r="B64" s="118">
        <v>5650</v>
      </c>
      <c r="C64" s="119">
        <f t="shared" si="4"/>
        <v>5650</v>
      </c>
      <c r="D64" s="120">
        <v>5085</v>
      </c>
      <c r="E64" s="1997"/>
      <c r="F64" s="121" t="s">
        <v>261</v>
      </c>
      <c r="G64" s="1998"/>
      <c r="H64" s="17"/>
    </row>
    <row r="65" spans="1:8">
      <c r="A65" s="132" t="s">
        <v>329</v>
      </c>
      <c r="B65" s="118">
        <v>5950</v>
      </c>
      <c r="C65" s="119">
        <f t="shared" si="4"/>
        <v>5950</v>
      </c>
      <c r="D65" s="120">
        <v>5355</v>
      </c>
      <c r="E65" s="1997"/>
      <c r="F65" s="121" t="s">
        <v>261</v>
      </c>
      <c r="G65" s="1998"/>
      <c r="H65" s="17"/>
    </row>
    <row r="66" spans="1:8">
      <c r="A66" s="132" t="s">
        <v>330</v>
      </c>
      <c r="B66" s="118">
        <v>6300</v>
      </c>
      <c r="C66" s="119">
        <f t="shared" si="4"/>
        <v>6300</v>
      </c>
      <c r="D66" s="120">
        <v>5670</v>
      </c>
      <c r="E66" s="1997"/>
      <c r="F66" s="121" t="s">
        <v>261</v>
      </c>
      <c r="G66" s="1998"/>
      <c r="H66" s="17"/>
    </row>
    <row r="67" spans="1:8" ht="13.95" customHeight="1">
      <c r="A67" s="133" t="s">
        <v>331</v>
      </c>
      <c r="B67" s="122">
        <v>6700</v>
      </c>
      <c r="C67" s="123">
        <f t="shared" si="4"/>
        <v>6700</v>
      </c>
      <c r="D67" s="124">
        <v>6030</v>
      </c>
      <c r="E67" s="1997"/>
      <c r="F67" s="121" t="s">
        <v>261</v>
      </c>
      <c r="G67" s="1998"/>
      <c r="H67" s="17"/>
    </row>
    <row r="68" spans="1:8" s="2" customFormat="1" ht="17.399999999999999" customHeight="1">
      <c r="A68" s="125" t="s">
        <v>332</v>
      </c>
      <c r="B68" s="134"/>
      <c r="C68" s="134"/>
      <c r="D68" s="134"/>
      <c r="E68" s="135"/>
      <c r="F68" s="115"/>
      <c r="G68" s="116"/>
      <c r="H68" s="117"/>
    </row>
    <row r="69" spans="1:8">
      <c r="A69" s="132" t="s">
        <v>322</v>
      </c>
      <c r="B69" s="118">
        <v>9150</v>
      </c>
      <c r="C69" s="119">
        <f>B69</f>
        <v>9150</v>
      </c>
      <c r="D69" s="120">
        <v>8235</v>
      </c>
      <c r="E69" s="1997" t="s">
        <v>323</v>
      </c>
      <c r="F69" s="121" t="s">
        <v>261</v>
      </c>
      <c r="G69" s="1998" t="s">
        <v>333</v>
      </c>
      <c r="H69" s="17"/>
    </row>
    <row r="70" spans="1:8">
      <c r="A70" s="132" t="s">
        <v>325</v>
      </c>
      <c r="B70" s="118">
        <v>9450</v>
      </c>
      <c r="C70" s="119">
        <f t="shared" ref="C70:C76" si="5">B70</f>
        <v>9450</v>
      </c>
      <c r="D70" s="120">
        <v>8505</v>
      </c>
      <c r="E70" s="1997"/>
      <c r="F70" s="121" t="s">
        <v>261</v>
      </c>
      <c r="G70" s="1998"/>
      <c r="H70" s="17"/>
    </row>
    <row r="71" spans="1:8">
      <c r="A71" s="132" t="s">
        <v>326</v>
      </c>
      <c r="B71" s="118">
        <v>9550</v>
      </c>
      <c r="C71" s="119">
        <f t="shared" si="5"/>
        <v>9550</v>
      </c>
      <c r="D71" s="120">
        <v>8595</v>
      </c>
      <c r="E71" s="1997"/>
      <c r="F71" s="121" t="s">
        <v>261</v>
      </c>
      <c r="G71" s="1998"/>
      <c r="H71" s="17"/>
    </row>
    <row r="72" spans="1:8">
      <c r="A72" s="132" t="s">
        <v>327</v>
      </c>
      <c r="B72" s="118">
        <v>10100</v>
      </c>
      <c r="C72" s="119">
        <f t="shared" si="5"/>
        <v>10100</v>
      </c>
      <c r="D72" s="120">
        <v>9090</v>
      </c>
      <c r="E72" s="1997"/>
      <c r="F72" s="121" t="s">
        <v>261</v>
      </c>
      <c r="G72" s="1998"/>
      <c r="H72" s="17"/>
    </row>
    <row r="73" spans="1:8">
      <c r="A73" s="132" t="s">
        <v>328</v>
      </c>
      <c r="B73" s="118">
        <v>10300</v>
      </c>
      <c r="C73" s="119">
        <f t="shared" si="5"/>
        <v>10300</v>
      </c>
      <c r="D73" s="120">
        <v>9270</v>
      </c>
      <c r="E73" s="1997"/>
      <c r="F73" s="121" t="s">
        <v>261</v>
      </c>
      <c r="G73" s="1998"/>
      <c r="H73" s="17"/>
    </row>
    <row r="74" spans="1:8">
      <c r="A74" s="132" t="s">
        <v>329</v>
      </c>
      <c r="B74" s="118">
        <v>10900</v>
      </c>
      <c r="C74" s="119">
        <f t="shared" si="5"/>
        <v>10900</v>
      </c>
      <c r="D74" s="120">
        <v>9810</v>
      </c>
      <c r="E74" s="1997"/>
      <c r="F74" s="121" t="s">
        <v>261</v>
      </c>
      <c r="G74" s="1998"/>
      <c r="H74" s="17"/>
    </row>
    <row r="75" spans="1:8">
      <c r="A75" s="132" t="s">
        <v>330</v>
      </c>
      <c r="B75" s="118">
        <v>11500</v>
      </c>
      <c r="C75" s="119">
        <f t="shared" si="5"/>
        <v>11500</v>
      </c>
      <c r="D75" s="120">
        <v>10350</v>
      </c>
      <c r="E75" s="1997"/>
      <c r="F75" s="121" t="s">
        <v>261</v>
      </c>
      <c r="G75" s="1998"/>
      <c r="H75" s="17"/>
    </row>
    <row r="76" spans="1:8">
      <c r="A76" s="133" t="s">
        <v>331</v>
      </c>
      <c r="B76" s="122">
        <v>11650</v>
      </c>
      <c r="C76" s="123">
        <f t="shared" si="5"/>
        <v>11650</v>
      </c>
      <c r="D76" s="124">
        <v>10485</v>
      </c>
      <c r="E76" s="1997"/>
      <c r="F76" s="121" t="s">
        <v>261</v>
      </c>
      <c r="G76" s="1998"/>
    </row>
    <row r="77" spans="1:8" s="2" customFormat="1" ht="17.399999999999999" hidden="1" customHeight="1">
      <c r="A77" s="125" t="s">
        <v>45</v>
      </c>
      <c r="B77" s="136"/>
      <c r="C77" s="136"/>
      <c r="D77" s="136"/>
      <c r="E77" s="137"/>
      <c r="F77" s="138"/>
      <c r="G77" s="116"/>
    </row>
    <row r="78" spans="1:8" s="2" customFormat="1" ht="28.5" hidden="1" customHeight="1">
      <c r="A78" s="139" t="s">
        <v>334</v>
      </c>
      <c r="B78" s="122">
        <v>250</v>
      </c>
      <c r="C78" s="140">
        <f>B78</f>
        <v>250</v>
      </c>
      <c r="D78" s="141">
        <f>Measures!C19</f>
        <v>225</v>
      </c>
      <c r="E78" s="142" t="s">
        <v>32</v>
      </c>
      <c r="F78" s="143" t="s">
        <v>261</v>
      </c>
      <c r="G78" s="144" t="s">
        <v>335</v>
      </c>
    </row>
    <row r="79" spans="1:8" s="2" customFormat="1" ht="17.399999999999999" customHeight="1">
      <c r="A79" s="1986" t="s">
        <v>336</v>
      </c>
      <c r="B79" s="1987"/>
      <c r="C79" s="1987"/>
      <c r="D79" s="1987"/>
      <c r="E79" s="1987"/>
      <c r="F79" s="1987"/>
      <c r="G79" s="1988"/>
    </row>
    <row r="80" spans="1:8" s="2" customFormat="1" ht="28.5" customHeight="1">
      <c r="A80" s="145" t="s">
        <v>337</v>
      </c>
      <c r="B80" s="118">
        <v>4800</v>
      </c>
      <c r="C80" s="146">
        <f>B80</f>
        <v>4800</v>
      </c>
      <c r="D80" s="147">
        <v>4320</v>
      </c>
      <c r="E80" s="1989" t="s">
        <v>323</v>
      </c>
      <c r="F80" s="3" t="s">
        <v>261</v>
      </c>
      <c r="G80" s="1990" t="s">
        <v>338</v>
      </c>
    </row>
    <row r="81" spans="1:7" s="2" customFormat="1" ht="28.5" customHeight="1">
      <c r="A81" s="145" t="s">
        <v>339</v>
      </c>
      <c r="B81" s="118">
        <v>4950</v>
      </c>
      <c r="C81" s="146">
        <f t="shared" ref="C81:C82" si="6">B81</f>
        <v>4950</v>
      </c>
      <c r="D81" s="147">
        <v>4455</v>
      </c>
      <c r="E81" s="1989"/>
      <c r="F81" s="3" t="s">
        <v>261</v>
      </c>
      <c r="G81" s="1990"/>
    </row>
    <row r="82" spans="1:7" s="2" customFormat="1" ht="28.5" customHeight="1">
      <c r="A82" s="145" t="s">
        <v>340</v>
      </c>
      <c r="B82" s="118">
        <v>5150</v>
      </c>
      <c r="C82" s="146">
        <f t="shared" si="6"/>
        <v>5150</v>
      </c>
      <c r="D82" s="147">
        <v>4635</v>
      </c>
      <c r="E82" s="1989"/>
      <c r="F82" s="3" t="s">
        <v>261</v>
      </c>
      <c r="G82" s="1990"/>
    </row>
    <row r="83" spans="1:7" s="2" customFormat="1" ht="28.5" customHeight="1">
      <c r="A83" s="148" t="s">
        <v>341</v>
      </c>
      <c r="B83" s="149"/>
      <c r="C83" s="150"/>
      <c r="D83" s="151"/>
      <c r="E83" s="152"/>
      <c r="F83" s="3"/>
      <c r="G83" s="153" t="s">
        <v>342</v>
      </c>
    </row>
    <row r="84" spans="1:7" s="154" customFormat="1" ht="17.399999999999999" customHeight="1">
      <c r="A84" s="1986" t="s">
        <v>343</v>
      </c>
      <c r="B84" s="1987"/>
      <c r="C84" s="1987"/>
      <c r="D84" s="1987"/>
      <c r="E84" s="1987"/>
      <c r="F84" s="1987"/>
      <c r="G84" s="1988"/>
    </row>
    <row r="85" spans="1:7" s="2" customFormat="1" ht="34.5" customHeight="1">
      <c r="A85" s="145" t="s">
        <v>344</v>
      </c>
      <c r="B85" s="118">
        <v>635</v>
      </c>
      <c r="C85" s="119">
        <f>B85</f>
        <v>635</v>
      </c>
      <c r="D85" s="155">
        <v>570</v>
      </c>
      <c r="E85" s="1991" t="s">
        <v>32</v>
      </c>
      <c r="F85" s="3" t="s">
        <v>261</v>
      </c>
      <c r="G85" s="1990" t="s">
        <v>345</v>
      </c>
    </row>
    <row r="86" spans="1:7" s="2" customFormat="1" ht="34.5" customHeight="1">
      <c r="A86" s="145" t="s">
        <v>346</v>
      </c>
      <c r="B86" s="118">
        <v>750</v>
      </c>
      <c r="C86" s="119">
        <f t="shared" ref="C86:C87" si="7">B86</f>
        <v>750</v>
      </c>
      <c r="D86" s="120">
        <v>675</v>
      </c>
      <c r="E86" s="1992"/>
      <c r="F86" s="3" t="s">
        <v>261</v>
      </c>
      <c r="G86" s="1990"/>
    </row>
    <row r="87" spans="1:7" s="2" customFormat="1" ht="34.5" customHeight="1">
      <c r="A87" s="145" t="s">
        <v>347</v>
      </c>
      <c r="B87" s="118">
        <v>920</v>
      </c>
      <c r="C87" s="119">
        <f t="shared" si="7"/>
        <v>920</v>
      </c>
      <c r="D87" s="120">
        <v>830</v>
      </c>
      <c r="E87" s="1992"/>
      <c r="F87" s="3" t="s">
        <v>261</v>
      </c>
      <c r="G87" s="1990"/>
    </row>
    <row r="88" spans="1:7" s="2" customFormat="1" ht="28.8">
      <c r="A88" s="139" t="s">
        <v>1077</v>
      </c>
      <c r="B88" s="59"/>
      <c r="C88" s="60"/>
      <c r="D88" s="156"/>
      <c r="E88" s="157"/>
      <c r="F88" s="3" t="s">
        <v>261</v>
      </c>
      <c r="G88" s="158" t="s">
        <v>348</v>
      </c>
    </row>
    <row r="89" spans="1:7" s="2" customFormat="1" ht="17.399999999999999" customHeight="1">
      <c r="A89" s="125" t="s">
        <v>349</v>
      </c>
      <c r="B89" s="136"/>
      <c r="C89" s="136"/>
      <c r="D89" s="136"/>
      <c r="E89" s="137"/>
      <c r="F89" s="138"/>
      <c r="G89" s="116"/>
    </row>
    <row r="90" spans="1:7" s="2" customFormat="1">
      <c r="A90" s="159" t="s">
        <v>41</v>
      </c>
      <c r="B90" s="118">
        <v>380</v>
      </c>
      <c r="C90" s="119">
        <f>B90</f>
        <v>380</v>
      </c>
      <c r="D90" s="120">
        <f>Measures!C20</f>
        <v>340</v>
      </c>
      <c r="E90" s="160">
        <f>Measures!D20</f>
        <v>100</v>
      </c>
      <c r="F90" s="161" t="s">
        <v>261</v>
      </c>
      <c r="G90" s="162" t="s">
        <v>350</v>
      </c>
    </row>
    <row r="91" spans="1:7" s="2" customFormat="1" ht="43.2">
      <c r="A91" s="75" t="s">
        <v>351</v>
      </c>
      <c r="B91" s="118">
        <v>525</v>
      </c>
      <c r="C91" s="163">
        <f t="shared" ref="C91:C95" si="8">B91</f>
        <v>525</v>
      </c>
      <c r="D91" s="164">
        <f>Measures!C12</f>
        <v>475</v>
      </c>
      <c r="E91" s="165">
        <f>Measures!D12</f>
        <v>25</v>
      </c>
      <c r="F91" s="23" t="s">
        <v>261</v>
      </c>
      <c r="G91" s="89" t="s">
        <v>352</v>
      </c>
    </row>
    <row r="92" spans="1:7" s="2" customFormat="1" ht="43.2">
      <c r="A92" s="75" t="s">
        <v>353</v>
      </c>
      <c r="B92" s="118">
        <v>650</v>
      </c>
      <c r="C92" s="163">
        <f t="shared" si="8"/>
        <v>650</v>
      </c>
      <c r="D92" s="164">
        <f>Measures!C13</f>
        <v>585</v>
      </c>
      <c r="E92" s="165">
        <f>Measures!D13</f>
        <v>25</v>
      </c>
      <c r="F92" s="23" t="s">
        <v>261</v>
      </c>
      <c r="G92" s="89" t="s">
        <v>352</v>
      </c>
    </row>
    <row r="93" spans="1:7" s="2" customFormat="1" ht="28.8">
      <c r="A93" s="75" t="s">
        <v>354</v>
      </c>
      <c r="B93" s="118">
        <v>505</v>
      </c>
      <c r="C93" s="163">
        <f t="shared" si="8"/>
        <v>505</v>
      </c>
      <c r="D93" s="164">
        <f>Measures!C14</f>
        <v>455</v>
      </c>
      <c r="E93" s="165">
        <f>Measures!D14</f>
        <v>200</v>
      </c>
      <c r="F93" s="76" t="s">
        <v>355</v>
      </c>
      <c r="G93" s="89" t="s">
        <v>356</v>
      </c>
    </row>
    <row r="94" spans="1:7" s="2" customFormat="1" ht="14.25" customHeight="1">
      <c r="A94" s="145" t="s">
        <v>357</v>
      </c>
      <c r="B94" s="118">
        <v>800</v>
      </c>
      <c r="C94" s="119">
        <f t="shared" si="8"/>
        <v>800</v>
      </c>
      <c r="D94" s="120">
        <f>B94</f>
        <v>800</v>
      </c>
      <c r="E94" s="166"/>
      <c r="F94" s="167" t="s">
        <v>261</v>
      </c>
      <c r="G94" s="162" t="s">
        <v>358</v>
      </c>
    </row>
    <row r="95" spans="1:7" s="2" customFormat="1">
      <c r="A95" s="145" t="s">
        <v>359</v>
      </c>
      <c r="B95" s="118">
        <v>800</v>
      </c>
      <c r="C95" s="119">
        <f t="shared" si="8"/>
        <v>800</v>
      </c>
      <c r="D95" s="120">
        <f>B95</f>
        <v>800</v>
      </c>
      <c r="E95" s="166"/>
      <c r="F95" s="167" t="s">
        <v>261</v>
      </c>
      <c r="G95" s="162" t="s">
        <v>360</v>
      </c>
    </row>
    <row r="96" spans="1:7" s="2" customFormat="1" ht="28.8">
      <c r="A96" s="145" t="s">
        <v>361</v>
      </c>
      <c r="B96" s="168"/>
      <c r="C96" s="169"/>
      <c r="D96" s="170"/>
      <c r="E96" s="171"/>
      <c r="F96" s="161" t="s">
        <v>261</v>
      </c>
      <c r="G96" s="162" t="s">
        <v>362</v>
      </c>
    </row>
    <row r="97" spans="1:7">
      <c r="A97" s="69" t="s">
        <v>363</v>
      </c>
      <c r="B97" s="40"/>
      <c r="C97" s="172"/>
      <c r="D97" s="173"/>
      <c r="E97" s="174"/>
      <c r="F97" s="73" t="s">
        <v>261</v>
      </c>
      <c r="G97" s="175" t="s">
        <v>364</v>
      </c>
    </row>
    <row r="98" spans="1:7">
      <c r="G98" s="177" t="s">
        <v>365</v>
      </c>
    </row>
  </sheetData>
  <sheetProtection algorithmName="SHA-512" hashValue="mU1vIJ1ccLJ3fshy/vs6PlkAsDPeoiH8fK2Nr5PYvYeWdHKC434TqIS2aS2097yVet5ZFC7YG/0XMmNoE+YvQA==" saltValue="pgCL9vUwrvjRp2z/9pvacg==" spinCount="100000" sheet="1" objects="1" scenarios="1" selectLockedCells="1"/>
  <mergeCells count="19">
    <mergeCell ref="E47:E51"/>
    <mergeCell ref="G47:G51"/>
    <mergeCell ref="A1:G1"/>
    <mergeCell ref="A2:G3"/>
    <mergeCell ref="F13:F15"/>
    <mergeCell ref="G13:G15"/>
    <mergeCell ref="A16:G16"/>
    <mergeCell ref="E53:E58"/>
    <mergeCell ref="G53:G58"/>
    <mergeCell ref="E60:E67"/>
    <mergeCell ref="G60:G67"/>
    <mergeCell ref="E69:E76"/>
    <mergeCell ref="G69:G76"/>
    <mergeCell ref="A79:G79"/>
    <mergeCell ref="E80:E82"/>
    <mergeCell ref="G80:G82"/>
    <mergeCell ref="A84:G84"/>
    <mergeCell ref="E85:E87"/>
    <mergeCell ref="G85:G87"/>
  </mergeCells>
  <printOptions gridLines="1"/>
  <pageMargins left="0.7" right="0.7" top="0.22500000000000001" bottom="0.22500000000000001" header="0.3" footer="0.3"/>
  <pageSetup scale="66" fitToHeight="0" pageOrder="overThenDown"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7CBAB6-E25E-4294-849D-8AA28E61E2B9}">
  <sheetPr>
    <pageSetUpPr fitToPage="1"/>
  </sheetPr>
  <dimension ref="B1:AO54"/>
  <sheetViews>
    <sheetView tabSelected="1" zoomScale="130" zoomScaleNormal="130" workbookViewId="0">
      <selection activeCell="E6" sqref="E6:T6"/>
    </sheetView>
  </sheetViews>
  <sheetFormatPr defaultRowHeight="14.4"/>
  <cols>
    <col min="1" max="1" width="0.88671875" customWidth="1"/>
    <col min="2" max="2" width="2.77734375" customWidth="1"/>
    <col min="3" max="41" width="2.6640625" customWidth="1"/>
    <col min="42" max="42" width="0.88671875" customWidth="1"/>
  </cols>
  <sheetData>
    <row r="1" spans="2:41" ht="23.4">
      <c r="B1" s="656" t="s">
        <v>630</v>
      </c>
      <c r="C1" s="656"/>
      <c r="D1" s="656"/>
      <c r="E1" s="656"/>
      <c r="F1" s="656"/>
      <c r="G1" s="656"/>
      <c r="H1" s="656"/>
      <c r="I1" s="656"/>
      <c r="J1" s="656"/>
      <c r="K1" s="656"/>
      <c r="L1" s="656"/>
      <c r="M1" s="656"/>
      <c r="N1" s="656"/>
      <c r="O1" s="656"/>
      <c r="P1" s="656"/>
      <c r="Q1" s="656"/>
      <c r="R1" s="656"/>
      <c r="S1" s="656"/>
      <c r="T1" s="656"/>
      <c r="U1" s="656"/>
      <c r="V1" s="656"/>
      <c r="W1" s="656"/>
      <c r="X1" s="656"/>
      <c r="Y1" s="656"/>
      <c r="Z1" s="656"/>
      <c r="AA1" s="656"/>
      <c r="AB1" s="656"/>
      <c r="AC1" s="656"/>
      <c r="AD1" s="656"/>
      <c r="AE1" s="656"/>
      <c r="AF1" s="656"/>
      <c r="AG1" s="656"/>
      <c r="AH1" s="656"/>
      <c r="AI1" s="656"/>
      <c r="AJ1" s="656"/>
      <c r="AK1" s="656"/>
      <c r="AL1" s="656"/>
      <c r="AM1" s="656"/>
      <c r="AN1" s="656"/>
      <c r="AO1" s="656"/>
    </row>
    <row r="2" spans="2:41" ht="21">
      <c r="B2" s="670" t="s">
        <v>54</v>
      </c>
      <c r="C2" s="670"/>
      <c r="D2" s="670"/>
      <c r="E2" s="670"/>
      <c r="F2" s="670"/>
      <c r="G2" s="670"/>
      <c r="H2" s="670"/>
      <c r="I2" s="670"/>
      <c r="J2" s="670"/>
      <c r="K2" s="670"/>
      <c r="L2" s="670"/>
      <c r="M2" s="670"/>
      <c r="N2" s="670"/>
      <c r="O2" s="670"/>
      <c r="P2" s="670"/>
      <c r="Q2" s="670"/>
      <c r="R2" s="670"/>
      <c r="S2" s="670"/>
      <c r="T2" s="670"/>
      <c r="U2" s="670"/>
      <c r="V2" s="670"/>
      <c r="W2" s="670"/>
      <c r="X2" s="670"/>
      <c r="Y2" s="670"/>
      <c r="Z2" s="670"/>
      <c r="AA2" s="670"/>
      <c r="AB2" s="670"/>
      <c r="AC2" s="670"/>
      <c r="AD2" s="670"/>
      <c r="AE2" s="670"/>
      <c r="AF2" s="670"/>
      <c r="AG2" s="670"/>
      <c r="AH2" s="670"/>
      <c r="AI2" s="670"/>
      <c r="AJ2" s="670"/>
      <c r="AK2" s="670"/>
      <c r="AL2" s="670"/>
      <c r="AM2" s="670"/>
      <c r="AN2" s="670"/>
      <c r="AO2" s="670"/>
    </row>
    <row r="3" spans="2:41" ht="3.6" customHeight="1" thickBot="1">
      <c r="B3" s="661"/>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661"/>
      <c r="AJ3" s="661"/>
      <c r="AK3" s="661"/>
      <c r="AL3" s="661"/>
      <c r="AM3" s="661"/>
      <c r="AN3" s="661"/>
      <c r="AO3" s="661"/>
    </row>
    <row r="4" spans="2:41" ht="21.6" customHeight="1">
      <c r="B4" s="681" t="s">
        <v>0</v>
      </c>
      <c r="C4" s="682"/>
      <c r="D4" s="682"/>
      <c r="E4" s="682"/>
      <c r="F4" s="682"/>
      <c r="G4" s="682"/>
      <c r="H4" s="682"/>
      <c r="I4" s="682"/>
      <c r="J4" s="682"/>
      <c r="K4" s="682"/>
      <c r="L4" s="682"/>
      <c r="M4" s="682"/>
      <c r="N4" s="682"/>
      <c r="O4" s="682"/>
      <c r="P4" s="682"/>
      <c r="Q4" s="682"/>
      <c r="R4" s="682"/>
      <c r="S4" s="682"/>
      <c r="T4" s="682"/>
      <c r="U4" s="682"/>
      <c r="V4" s="682"/>
      <c r="W4" s="682"/>
      <c r="X4" s="682"/>
      <c r="Y4" s="682"/>
      <c r="Z4" s="682"/>
      <c r="AA4" s="682"/>
      <c r="AB4" s="682"/>
      <c r="AC4" s="682"/>
      <c r="AD4" s="682"/>
      <c r="AE4" s="682"/>
      <c r="AF4" s="682"/>
      <c r="AG4" s="682"/>
      <c r="AH4" s="682"/>
      <c r="AI4" s="682"/>
      <c r="AJ4" s="682"/>
      <c r="AK4" s="682"/>
      <c r="AL4" s="682"/>
      <c r="AM4" s="682"/>
      <c r="AN4" s="682"/>
      <c r="AO4" s="683"/>
    </row>
    <row r="5" spans="2:41" s="219" customFormat="1" ht="2.5499999999999998" customHeight="1">
      <c r="B5" s="684"/>
      <c r="C5" s="685"/>
      <c r="D5" s="685"/>
      <c r="E5" s="685"/>
      <c r="F5" s="685"/>
      <c r="G5" s="685"/>
      <c r="H5" s="685"/>
      <c r="I5" s="685"/>
      <c r="J5" s="685"/>
      <c r="K5" s="685"/>
      <c r="L5" s="685"/>
      <c r="M5" s="685"/>
      <c r="N5" s="685"/>
      <c r="O5" s="685"/>
      <c r="P5" s="685"/>
      <c r="Q5" s="685"/>
      <c r="R5" s="685"/>
      <c r="S5" s="685"/>
      <c r="T5" s="685"/>
      <c r="U5" s="685"/>
      <c r="V5" s="685"/>
      <c r="W5" s="685"/>
      <c r="X5" s="685"/>
      <c r="Y5" s="685"/>
      <c r="Z5" s="685"/>
      <c r="AA5" s="685"/>
      <c r="AB5" s="685"/>
      <c r="AC5" s="685"/>
      <c r="AD5" s="685"/>
      <c r="AE5" s="685"/>
      <c r="AF5" s="685"/>
      <c r="AG5" s="685"/>
      <c r="AH5" s="685"/>
      <c r="AI5" s="685"/>
      <c r="AJ5" s="685"/>
      <c r="AK5" s="685"/>
      <c r="AL5" s="685"/>
      <c r="AM5" s="685"/>
      <c r="AN5" s="685"/>
      <c r="AO5" s="686"/>
    </row>
    <row r="6" spans="2:41" s="2" customFormat="1" ht="21.6" customHeight="1">
      <c r="B6" s="662" t="s">
        <v>195</v>
      </c>
      <c r="C6" s="663"/>
      <c r="D6" s="663"/>
      <c r="E6" s="616"/>
      <c r="F6" s="616"/>
      <c r="G6" s="616"/>
      <c r="H6" s="616"/>
      <c r="I6" s="616"/>
      <c r="J6" s="616"/>
      <c r="K6" s="616"/>
      <c r="L6" s="616"/>
      <c r="M6" s="616"/>
      <c r="N6" s="616"/>
      <c r="O6" s="616"/>
      <c r="P6" s="616"/>
      <c r="Q6" s="616"/>
      <c r="R6" s="616"/>
      <c r="S6" s="616"/>
      <c r="T6" s="616"/>
      <c r="U6" s="664" t="s">
        <v>84</v>
      </c>
      <c r="V6" s="664"/>
      <c r="W6" s="664"/>
      <c r="X6" s="616"/>
      <c r="Y6" s="616"/>
      <c r="Z6" s="616"/>
      <c r="AA6" s="616"/>
      <c r="AB6" s="616"/>
      <c r="AC6" s="616"/>
      <c r="AD6" s="616"/>
      <c r="AE6" s="616"/>
      <c r="AF6" s="688" t="s">
        <v>1</v>
      </c>
      <c r="AG6" s="688"/>
      <c r="AH6" s="664" t="s">
        <v>85</v>
      </c>
      <c r="AI6" s="664"/>
      <c r="AJ6" s="664"/>
      <c r="AK6" s="665"/>
      <c r="AL6" s="665"/>
      <c r="AM6" s="665"/>
      <c r="AN6" s="665"/>
      <c r="AO6" s="666"/>
    </row>
    <row r="7" spans="2:41" s="2" customFormat="1" ht="2.5499999999999998" customHeight="1">
      <c r="B7" s="695"/>
      <c r="C7" s="696"/>
      <c r="D7" s="696"/>
      <c r="E7" s="696"/>
      <c r="F7" s="696"/>
      <c r="G7" s="696"/>
      <c r="H7" s="696"/>
      <c r="I7" s="696"/>
      <c r="J7" s="696"/>
      <c r="K7" s="696"/>
      <c r="L7" s="696"/>
      <c r="M7" s="696"/>
      <c r="N7" s="696"/>
      <c r="O7" s="696"/>
      <c r="P7" s="696"/>
      <c r="Q7" s="696"/>
      <c r="R7" s="696"/>
      <c r="S7" s="696"/>
      <c r="T7" s="696"/>
      <c r="U7" s="696"/>
      <c r="V7" s="696"/>
      <c r="W7" s="696"/>
      <c r="X7" s="696"/>
      <c r="Y7" s="696"/>
      <c r="Z7" s="696"/>
      <c r="AA7" s="696"/>
      <c r="AB7" s="696"/>
      <c r="AC7" s="696"/>
      <c r="AD7" s="696"/>
      <c r="AE7" s="696"/>
      <c r="AF7" s="696"/>
      <c r="AG7" s="696"/>
      <c r="AH7" s="696"/>
      <c r="AI7" s="696"/>
      <c r="AJ7" s="696"/>
      <c r="AK7" s="696"/>
      <c r="AL7" s="696"/>
      <c r="AM7" s="696"/>
      <c r="AN7" s="696"/>
      <c r="AO7" s="697"/>
    </row>
    <row r="8" spans="2:41" s="220" customFormat="1" ht="2.5499999999999998" customHeight="1">
      <c r="B8" s="687"/>
      <c r="C8" s="688"/>
      <c r="D8" s="688"/>
      <c r="E8" s="688"/>
      <c r="F8" s="688"/>
      <c r="G8" s="688"/>
      <c r="H8" s="688"/>
      <c r="I8" s="688"/>
      <c r="J8" s="688"/>
      <c r="K8" s="688"/>
      <c r="L8" s="688"/>
      <c r="M8" s="688"/>
      <c r="N8" s="688"/>
      <c r="O8" s="688"/>
      <c r="P8" s="688"/>
      <c r="Q8" s="688"/>
      <c r="R8" s="688"/>
      <c r="S8" s="688"/>
      <c r="T8" s="688"/>
      <c r="U8" s="688"/>
      <c r="V8" s="688"/>
      <c r="W8" s="688"/>
      <c r="X8" s="688"/>
      <c r="Y8" s="688"/>
      <c r="Z8" s="688"/>
      <c r="AA8" s="688"/>
      <c r="AB8" s="688"/>
      <c r="AC8" s="688"/>
      <c r="AD8" s="688"/>
      <c r="AE8" s="688"/>
      <c r="AF8" s="688"/>
      <c r="AG8" s="688"/>
      <c r="AH8" s="688"/>
      <c r="AI8" s="688"/>
      <c r="AJ8" s="688"/>
      <c r="AK8" s="688"/>
      <c r="AL8" s="688"/>
      <c r="AM8" s="688"/>
      <c r="AN8" s="688"/>
      <c r="AO8" s="689"/>
    </row>
    <row r="9" spans="2:41" s="2" customFormat="1" ht="21.6" customHeight="1">
      <c r="B9" s="667" t="s">
        <v>230</v>
      </c>
      <c r="C9" s="668"/>
      <c r="D9" s="668"/>
      <c r="E9" s="668"/>
      <c r="F9" s="237"/>
      <c r="G9" s="660" t="s">
        <v>3</v>
      </c>
      <c r="H9" s="660"/>
      <c r="I9" s="660"/>
      <c r="J9" s="237"/>
      <c r="K9" s="660" t="s">
        <v>2</v>
      </c>
      <c r="L9" s="660"/>
      <c r="M9" s="660"/>
      <c r="N9" s="660"/>
      <c r="O9" s="669" t="s">
        <v>170</v>
      </c>
      <c r="P9" s="669"/>
      <c r="Q9" s="669"/>
      <c r="R9" s="635"/>
      <c r="S9" s="635"/>
      <c r="T9" s="635"/>
      <c r="U9" s="635"/>
      <c r="V9" s="635"/>
      <c r="W9" s="635"/>
      <c r="X9" s="635"/>
      <c r="Y9" s="629" t="s">
        <v>168</v>
      </c>
      <c r="Z9" s="629"/>
      <c r="AA9" s="629"/>
      <c r="AB9" s="629"/>
      <c r="AC9" s="629"/>
      <c r="AD9" s="618"/>
      <c r="AE9" s="618"/>
      <c r="AF9" s="629" t="s">
        <v>1076</v>
      </c>
      <c r="AG9" s="629"/>
      <c r="AH9" s="629"/>
      <c r="AI9" s="659"/>
      <c r="AJ9" s="659"/>
      <c r="AK9" s="629" t="s">
        <v>169</v>
      </c>
      <c r="AL9" s="629"/>
      <c r="AM9" s="629"/>
      <c r="AN9" s="657"/>
      <c r="AO9" s="658"/>
    </row>
    <row r="10" spans="2:41" s="2" customFormat="1" ht="2.5499999999999998" customHeight="1">
      <c r="B10" s="698"/>
      <c r="C10" s="699"/>
      <c r="D10" s="699"/>
      <c r="E10" s="699"/>
      <c r="F10" s="699"/>
      <c r="G10" s="699"/>
      <c r="H10" s="699"/>
      <c r="I10" s="699"/>
      <c r="J10" s="699"/>
      <c r="K10" s="699"/>
      <c r="L10" s="699"/>
      <c r="M10" s="699"/>
      <c r="N10" s="699"/>
      <c r="O10" s="699"/>
      <c r="P10" s="699"/>
      <c r="Q10" s="699"/>
      <c r="R10" s="699"/>
      <c r="S10" s="699"/>
      <c r="T10" s="699"/>
      <c r="U10" s="699"/>
      <c r="V10" s="699"/>
      <c r="W10" s="699"/>
      <c r="X10" s="699"/>
      <c r="Y10" s="699"/>
      <c r="Z10" s="699"/>
      <c r="AA10" s="699"/>
      <c r="AB10" s="699"/>
      <c r="AC10" s="699"/>
      <c r="AD10" s="699"/>
      <c r="AE10" s="699"/>
      <c r="AF10" s="699"/>
      <c r="AG10" s="699"/>
      <c r="AH10" s="699"/>
      <c r="AI10" s="699"/>
      <c r="AJ10" s="699"/>
      <c r="AK10" s="699"/>
      <c r="AL10" s="699"/>
      <c r="AM10" s="699"/>
      <c r="AN10" s="699"/>
      <c r="AO10" s="700"/>
    </row>
    <row r="11" spans="2:41" s="221" customFormat="1" ht="2.5499999999999998" customHeight="1">
      <c r="B11" s="690"/>
      <c r="C11" s="668"/>
      <c r="D11" s="668"/>
      <c r="E11" s="668"/>
      <c r="F11" s="668"/>
      <c r="G11" s="668"/>
      <c r="H11" s="668"/>
      <c r="I11" s="668"/>
      <c r="J11" s="668"/>
      <c r="K11" s="668"/>
      <c r="L11" s="668"/>
      <c r="M11" s="668"/>
      <c r="N11" s="668"/>
      <c r="O11" s="668"/>
      <c r="P11" s="668"/>
      <c r="Q11" s="668"/>
      <c r="R11" s="668"/>
      <c r="S11" s="668"/>
      <c r="T11" s="668"/>
      <c r="U11" s="668"/>
      <c r="V11" s="668"/>
      <c r="W11" s="668"/>
      <c r="X11" s="668"/>
      <c r="Y11" s="668"/>
      <c r="Z11" s="668"/>
      <c r="AA11" s="668"/>
      <c r="AB11" s="668"/>
      <c r="AC11" s="668"/>
      <c r="AD11" s="668"/>
      <c r="AE11" s="668"/>
      <c r="AF11" s="668"/>
      <c r="AG11" s="668"/>
      <c r="AH11" s="668"/>
      <c r="AI11" s="668"/>
      <c r="AJ11" s="668"/>
      <c r="AK11" s="668"/>
      <c r="AL11" s="668"/>
      <c r="AM11" s="668"/>
      <c r="AN11" s="668"/>
      <c r="AO11" s="691"/>
    </row>
    <row r="12" spans="2:41" s="22" customFormat="1" ht="21.6" customHeight="1">
      <c r="B12" s="677" t="s">
        <v>227</v>
      </c>
      <c r="C12" s="678"/>
      <c r="D12" s="678"/>
      <c r="E12" s="678"/>
      <c r="F12" s="655"/>
      <c r="G12" s="655"/>
      <c r="H12" s="680" t="s">
        <v>422</v>
      </c>
      <c r="I12" s="680"/>
      <c r="J12" s="680"/>
      <c r="K12" s="680"/>
      <c r="L12" s="680"/>
      <c r="M12" s="616"/>
      <c r="N12" s="616"/>
      <c r="O12" s="616"/>
      <c r="P12" s="616"/>
      <c r="Q12" s="616"/>
      <c r="R12" s="616"/>
      <c r="S12" s="616"/>
      <c r="T12" s="222"/>
      <c r="U12" s="208"/>
      <c r="V12" s="701" t="s">
        <v>935</v>
      </c>
      <c r="W12" s="701"/>
      <c r="X12" s="701"/>
      <c r="Y12" s="701"/>
      <c r="Z12" s="701"/>
      <c r="AA12" s="701"/>
      <c r="AB12" s="701"/>
      <c r="AC12" s="701"/>
      <c r="AD12" s="701"/>
      <c r="AE12" s="701"/>
      <c r="AF12" s="701"/>
      <c r="AG12" s="701"/>
      <c r="AH12" s="701"/>
      <c r="AI12" s="701"/>
      <c r="AJ12" s="701"/>
      <c r="AK12" s="701"/>
      <c r="AL12" s="701"/>
      <c r="AM12" s="701"/>
      <c r="AN12" s="701"/>
      <c r="AO12" s="702"/>
    </row>
    <row r="13" spans="2:41" s="22" customFormat="1" ht="2.5499999999999998" customHeight="1" thickBot="1">
      <c r="B13" s="692"/>
      <c r="C13" s="693"/>
      <c r="D13" s="693"/>
      <c r="E13" s="693"/>
      <c r="F13" s="693"/>
      <c r="G13" s="693"/>
      <c r="H13" s="693"/>
      <c r="I13" s="693"/>
      <c r="J13" s="693"/>
      <c r="K13" s="693"/>
      <c r="L13" s="693"/>
      <c r="M13" s="693"/>
      <c r="N13" s="693"/>
      <c r="O13" s="693"/>
      <c r="P13" s="693"/>
      <c r="Q13" s="693"/>
      <c r="R13" s="693"/>
      <c r="S13" s="693"/>
      <c r="T13" s="693"/>
      <c r="U13" s="693"/>
      <c r="V13" s="693"/>
      <c r="W13" s="693"/>
      <c r="X13" s="693"/>
      <c r="Y13" s="693"/>
      <c r="Z13" s="693"/>
      <c r="AA13" s="693"/>
      <c r="AB13" s="693"/>
      <c r="AC13" s="693"/>
      <c r="AD13" s="693"/>
      <c r="AE13" s="693"/>
      <c r="AF13" s="693"/>
      <c r="AG13" s="693"/>
      <c r="AH13" s="693"/>
      <c r="AI13" s="693"/>
      <c r="AJ13" s="693"/>
      <c r="AK13" s="693"/>
      <c r="AL13" s="693"/>
      <c r="AM13" s="693"/>
      <c r="AN13" s="693"/>
      <c r="AO13" s="694"/>
    </row>
    <row r="14" spans="2:41" ht="7.95" customHeight="1" thickBot="1">
      <c r="B14" s="679"/>
      <c r="C14" s="679"/>
      <c r="D14" s="679"/>
      <c r="E14" s="679"/>
      <c r="F14" s="679"/>
      <c r="G14" s="679"/>
      <c r="H14" s="679"/>
      <c r="I14" s="679"/>
      <c r="J14" s="679"/>
      <c r="K14" s="679"/>
      <c r="L14" s="679"/>
      <c r="M14" s="679"/>
      <c r="N14" s="679"/>
      <c r="O14" s="679"/>
      <c r="P14" s="679"/>
      <c r="Q14" s="679"/>
      <c r="R14" s="679"/>
      <c r="S14" s="679"/>
      <c r="T14" s="679"/>
      <c r="U14" s="679"/>
      <c r="V14" s="679"/>
      <c r="W14" s="679"/>
      <c r="X14" s="679"/>
      <c r="Y14" s="679"/>
      <c r="Z14" s="679"/>
      <c r="AA14" s="679"/>
      <c r="AB14" s="679"/>
      <c r="AC14" s="679"/>
      <c r="AD14" s="679"/>
      <c r="AE14" s="679"/>
      <c r="AF14" s="679"/>
      <c r="AG14" s="679"/>
      <c r="AH14" s="679"/>
      <c r="AI14" s="679"/>
      <c r="AJ14" s="679"/>
      <c r="AK14" s="679"/>
      <c r="AL14" s="679"/>
      <c r="AM14" s="679"/>
      <c r="AN14" s="679"/>
      <c r="AO14" s="679"/>
    </row>
    <row r="15" spans="2:41" ht="21.6" customHeight="1">
      <c r="B15" s="644" t="s">
        <v>36</v>
      </c>
      <c r="C15" s="645"/>
      <c r="D15" s="645"/>
      <c r="E15" s="645"/>
      <c r="F15" s="645"/>
      <c r="G15" s="645"/>
      <c r="H15" s="645"/>
      <c r="I15" s="645"/>
      <c r="J15" s="645"/>
      <c r="K15" s="645"/>
      <c r="L15" s="645"/>
      <c r="M15" s="645"/>
      <c r="N15" s="645"/>
      <c r="O15" s="645"/>
      <c r="P15" s="645"/>
      <c r="Q15" s="645"/>
      <c r="R15" s="645"/>
      <c r="S15" s="645"/>
      <c r="T15" s="645"/>
      <c r="U15" s="645"/>
      <c r="V15" s="645"/>
      <c r="W15" s="645"/>
      <c r="X15" s="645"/>
      <c r="Y15" s="645"/>
      <c r="Z15" s="645"/>
      <c r="AA15" s="645"/>
      <c r="AB15" s="645"/>
      <c r="AC15" s="645"/>
      <c r="AD15" s="645"/>
      <c r="AE15" s="645"/>
      <c r="AF15" s="645"/>
      <c r="AG15" s="645"/>
      <c r="AH15" s="645"/>
      <c r="AI15" s="645"/>
      <c r="AJ15" s="645"/>
      <c r="AK15" s="645"/>
      <c r="AL15" s="645"/>
      <c r="AM15" s="645"/>
      <c r="AN15" s="645"/>
      <c r="AO15" s="646"/>
    </row>
    <row r="16" spans="2:41" ht="2.5499999999999998" customHeight="1">
      <c r="B16" s="674"/>
      <c r="C16" s="675"/>
      <c r="D16" s="675"/>
      <c r="E16" s="675"/>
      <c r="F16" s="675"/>
      <c r="G16" s="675"/>
      <c r="H16" s="675"/>
      <c r="I16" s="675"/>
      <c r="J16" s="675"/>
      <c r="K16" s="675"/>
      <c r="L16" s="675"/>
      <c r="M16" s="675"/>
      <c r="N16" s="675"/>
      <c r="O16" s="675"/>
      <c r="P16" s="675"/>
      <c r="Q16" s="675"/>
      <c r="R16" s="675"/>
      <c r="S16" s="675"/>
      <c r="T16" s="675"/>
      <c r="U16" s="675"/>
      <c r="V16" s="675"/>
      <c r="W16" s="675"/>
      <c r="X16" s="675"/>
      <c r="Y16" s="675"/>
      <c r="Z16" s="675"/>
      <c r="AA16" s="675"/>
      <c r="AB16" s="675"/>
      <c r="AC16" s="675"/>
      <c r="AD16" s="675"/>
      <c r="AE16" s="675"/>
      <c r="AF16" s="675"/>
      <c r="AG16" s="675"/>
      <c r="AH16" s="675"/>
      <c r="AI16" s="675"/>
      <c r="AJ16" s="675"/>
      <c r="AK16" s="675"/>
      <c r="AL16" s="675"/>
      <c r="AM16" s="675"/>
      <c r="AN16" s="675"/>
      <c r="AO16" s="676"/>
    </row>
    <row r="17" spans="2:41" ht="21.6" customHeight="1">
      <c r="B17" s="614" t="s">
        <v>507</v>
      </c>
      <c r="C17" s="615"/>
      <c r="D17" s="615"/>
      <c r="E17" s="615"/>
      <c r="F17" s="615"/>
      <c r="G17" s="655"/>
      <c r="H17" s="655"/>
      <c r="I17" s="655"/>
      <c r="J17" s="655"/>
      <c r="K17" s="655"/>
      <c r="L17" s="655"/>
      <c r="M17" s="655"/>
      <c r="N17" s="655"/>
      <c r="O17" s="655"/>
      <c r="P17" s="655"/>
      <c r="Q17" s="615" t="s">
        <v>97</v>
      </c>
      <c r="R17" s="615"/>
      <c r="S17" s="615"/>
      <c r="T17" s="615"/>
      <c r="U17" s="655"/>
      <c r="V17" s="655"/>
      <c r="W17" s="655"/>
      <c r="X17" s="655"/>
      <c r="Y17" s="655"/>
      <c r="Z17" s="655"/>
      <c r="AA17" s="655"/>
      <c r="AB17" s="671" t="s">
        <v>86</v>
      </c>
      <c r="AC17" s="671"/>
      <c r="AD17" s="671"/>
      <c r="AE17" s="671"/>
      <c r="AF17" s="672"/>
      <c r="AG17" s="672"/>
      <c r="AH17" s="672"/>
      <c r="AI17" s="672"/>
      <c r="AJ17" s="672"/>
      <c r="AK17" s="672"/>
      <c r="AL17" s="672"/>
      <c r="AM17" s="672"/>
      <c r="AN17" s="672"/>
      <c r="AO17" s="673"/>
    </row>
    <row r="18" spans="2:41" ht="2.5499999999999998" customHeight="1">
      <c r="B18" s="620"/>
      <c r="C18" s="621"/>
      <c r="D18" s="621"/>
      <c r="E18" s="621"/>
      <c r="F18" s="621"/>
      <c r="G18" s="621"/>
      <c r="H18" s="621"/>
      <c r="I18" s="621"/>
      <c r="J18" s="621"/>
      <c r="K18" s="621"/>
      <c r="L18" s="621"/>
      <c r="M18" s="621"/>
      <c r="N18" s="621"/>
      <c r="O18" s="621"/>
      <c r="P18" s="621"/>
      <c r="Q18" s="621"/>
      <c r="R18" s="621"/>
      <c r="S18" s="621"/>
      <c r="T18" s="621"/>
      <c r="U18" s="621"/>
      <c r="V18" s="621"/>
      <c r="W18" s="621"/>
      <c r="X18" s="621"/>
      <c r="Y18" s="621"/>
      <c r="Z18" s="621"/>
      <c r="AA18" s="621"/>
      <c r="AB18" s="621"/>
      <c r="AC18" s="621"/>
      <c r="AD18" s="621"/>
      <c r="AE18" s="621"/>
      <c r="AF18" s="621"/>
      <c r="AG18" s="621"/>
      <c r="AH18" s="621"/>
      <c r="AI18" s="621"/>
      <c r="AJ18" s="621"/>
      <c r="AK18" s="621"/>
      <c r="AL18" s="621"/>
      <c r="AM18" s="621"/>
      <c r="AN18" s="621"/>
      <c r="AO18" s="622"/>
    </row>
    <row r="19" spans="2:41" ht="2.5499999999999998" customHeight="1">
      <c r="B19" s="623"/>
      <c r="C19" s="624"/>
      <c r="D19" s="624"/>
      <c r="E19" s="624"/>
      <c r="F19" s="624"/>
      <c r="G19" s="624"/>
      <c r="H19" s="624"/>
      <c r="I19" s="624"/>
      <c r="J19" s="624"/>
      <c r="K19" s="624"/>
      <c r="L19" s="624"/>
      <c r="M19" s="624"/>
      <c r="N19" s="624"/>
      <c r="O19" s="624"/>
      <c r="P19" s="624"/>
      <c r="Q19" s="624"/>
      <c r="R19" s="624"/>
      <c r="S19" s="624"/>
      <c r="T19" s="624"/>
      <c r="U19" s="624"/>
      <c r="V19" s="624"/>
      <c r="W19" s="624"/>
      <c r="X19" s="624"/>
      <c r="Y19" s="624"/>
      <c r="Z19" s="624"/>
      <c r="AA19" s="624"/>
      <c r="AB19" s="624"/>
      <c r="AC19" s="624"/>
      <c r="AD19" s="624"/>
      <c r="AE19" s="624"/>
      <c r="AF19" s="624"/>
      <c r="AG19" s="624"/>
      <c r="AH19" s="624"/>
      <c r="AI19" s="624"/>
      <c r="AJ19" s="624"/>
      <c r="AK19" s="624"/>
      <c r="AL19" s="624"/>
      <c r="AM19" s="624"/>
      <c r="AN19" s="624"/>
      <c r="AO19" s="625"/>
    </row>
    <row r="20" spans="2:41" ht="21.6" customHeight="1">
      <c r="B20" s="614" t="s">
        <v>508</v>
      </c>
      <c r="C20" s="615"/>
      <c r="D20" s="615"/>
      <c r="E20" s="615"/>
      <c r="F20" s="615"/>
      <c r="G20" s="655"/>
      <c r="H20" s="655"/>
      <c r="I20" s="655"/>
      <c r="J20" s="655"/>
      <c r="K20" s="655"/>
      <c r="L20" s="655"/>
      <c r="M20" s="655"/>
      <c r="N20" s="655"/>
      <c r="O20" s="655"/>
      <c r="P20" s="655"/>
      <c r="Q20" s="615" t="s">
        <v>97</v>
      </c>
      <c r="R20" s="615"/>
      <c r="S20" s="615"/>
      <c r="T20" s="615"/>
      <c r="U20" s="655"/>
      <c r="V20" s="655"/>
      <c r="W20" s="655"/>
      <c r="X20" s="655"/>
      <c r="Y20" s="655"/>
      <c r="Z20" s="655"/>
      <c r="AA20" s="655"/>
      <c r="AB20" s="671" t="s">
        <v>86</v>
      </c>
      <c r="AC20" s="671"/>
      <c r="AD20" s="671"/>
      <c r="AE20" s="671"/>
      <c r="AF20" s="672"/>
      <c r="AG20" s="672"/>
      <c r="AH20" s="672"/>
      <c r="AI20" s="672"/>
      <c r="AJ20" s="672"/>
      <c r="AK20" s="672"/>
      <c r="AL20" s="672"/>
      <c r="AM20" s="672"/>
      <c r="AN20" s="672"/>
      <c r="AO20" s="673"/>
    </row>
    <row r="21" spans="2:41" ht="2.5499999999999998" customHeight="1" thickBot="1">
      <c r="B21" s="626"/>
      <c r="C21" s="627"/>
      <c r="D21" s="627"/>
      <c r="E21" s="627"/>
      <c r="F21" s="627"/>
      <c r="G21" s="627"/>
      <c r="H21" s="627"/>
      <c r="I21" s="627"/>
      <c r="J21" s="627"/>
      <c r="K21" s="627"/>
      <c r="L21" s="627"/>
      <c r="M21" s="627"/>
      <c r="N21" s="627"/>
      <c r="O21" s="627"/>
      <c r="P21" s="627"/>
      <c r="Q21" s="627"/>
      <c r="R21" s="627"/>
      <c r="S21" s="627"/>
      <c r="T21" s="627"/>
      <c r="U21" s="627"/>
      <c r="V21" s="627"/>
      <c r="W21" s="627"/>
      <c r="X21" s="627"/>
      <c r="Y21" s="627"/>
      <c r="Z21" s="627"/>
      <c r="AA21" s="627"/>
      <c r="AB21" s="627"/>
      <c r="AC21" s="627"/>
      <c r="AD21" s="627"/>
      <c r="AE21" s="627"/>
      <c r="AF21" s="627"/>
      <c r="AG21" s="627"/>
      <c r="AH21" s="627"/>
      <c r="AI21" s="627"/>
      <c r="AJ21" s="627"/>
      <c r="AK21" s="627"/>
      <c r="AL21" s="627"/>
      <c r="AM21" s="627"/>
      <c r="AN21" s="627"/>
      <c r="AO21" s="628"/>
    </row>
    <row r="22" spans="2:41" ht="7.95" customHeight="1" thickBot="1">
      <c r="B22" s="730"/>
      <c r="C22" s="730"/>
      <c r="D22" s="730"/>
      <c r="E22" s="730"/>
      <c r="F22" s="730"/>
      <c r="G22" s="730"/>
      <c r="H22" s="730"/>
      <c r="I22" s="730"/>
      <c r="J22" s="730"/>
      <c r="K22" s="730"/>
      <c r="L22" s="730"/>
      <c r="M22" s="730"/>
      <c r="N22" s="730"/>
      <c r="O22" s="730"/>
      <c r="P22" s="730"/>
      <c r="Q22" s="730"/>
      <c r="R22" s="730"/>
      <c r="S22" s="730"/>
      <c r="T22" s="730"/>
      <c r="U22" s="730"/>
      <c r="V22" s="730"/>
      <c r="W22" s="730"/>
      <c r="X22" s="730"/>
      <c r="Y22" s="730"/>
      <c r="Z22" s="730"/>
      <c r="AA22" s="730"/>
      <c r="AB22" s="730"/>
      <c r="AC22" s="730"/>
      <c r="AD22" s="730"/>
      <c r="AE22" s="730"/>
      <c r="AF22" s="730"/>
      <c r="AG22" s="730"/>
      <c r="AH22" s="730"/>
      <c r="AI22" s="730"/>
      <c r="AJ22" s="730"/>
      <c r="AK22" s="730"/>
      <c r="AL22" s="730"/>
      <c r="AM22" s="730"/>
      <c r="AN22" s="730"/>
      <c r="AO22" s="730"/>
    </row>
    <row r="23" spans="2:41" ht="21.6" customHeight="1">
      <c r="B23" s="644" t="s">
        <v>631</v>
      </c>
      <c r="C23" s="645"/>
      <c r="D23" s="645"/>
      <c r="E23" s="645"/>
      <c r="F23" s="645"/>
      <c r="G23" s="645"/>
      <c r="H23" s="645"/>
      <c r="I23" s="645"/>
      <c r="J23" s="645"/>
      <c r="K23" s="645"/>
      <c r="L23" s="645"/>
      <c r="M23" s="645"/>
      <c r="N23" s="645"/>
      <c r="O23" s="645"/>
      <c r="P23" s="645"/>
      <c r="Q23" s="645"/>
      <c r="R23" s="645"/>
      <c r="S23" s="645"/>
      <c r="T23" s="645"/>
      <c r="U23" s="645"/>
      <c r="V23" s="645"/>
      <c r="W23" s="645"/>
      <c r="X23" s="645"/>
      <c r="Y23" s="645"/>
      <c r="Z23" s="645"/>
      <c r="AA23" s="645"/>
      <c r="AB23" s="645"/>
      <c r="AC23" s="645"/>
      <c r="AD23" s="645"/>
      <c r="AE23" s="645"/>
      <c r="AF23" s="645"/>
      <c r="AG23" s="645"/>
      <c r="AH23" s="645"/>
      <c r="AI23" s="645"/>
      <c r="AJ23" s="645"/>
      <c r="AK23" s="645"/>
      <c r="AL23" s="645"/>
      <c r="AM23" s="645"/>
      <c r="AN23" s="645"/>
      <c r="AO23" s="646"/>
    </row>
    <row r="24" spans="2:41" ht="21.6" customHeight="1">
      <c r="B24" s="647" t="s">
        <v>199</v>
      </c>
      <c r="C24" s="648"/>
      <c r="D24" s="648"/>
      <c r="E24" s="648"/>
      <c r="F24" s="648"/>
      <c r="G24" s="648"/>
      <c r="H24" s="648"/>
      <c r="I24" s="648"/>
      <c r="J24" s="648"/>
      <c r="K24" s="648"/>
      <c r="L24" s="648"/>
      <c r="M24" s="648"/>
      <c r="N24" s="648"/>
      <c r="O24" s="648"/>
      <c r="P24" s="648"/>
      <c r="Q24" s="648"/>
      <c r="R24" s="648"/>
      <c r="S24" s="648"/>
      <c r="T24" s="648"/>
      <c r="U24" s="648"/>
      <c r="V24" s="648"/>
      <c r="W24" s="648"/>
      <c r="X24" s="648"/>
      <c r="Y24" s="648"/>
      <c r="Z24" s="648"/>
      <c r="AA24" s="648"/>
      <c r="AB24" s="648"/>
      <c r="AC24" s="648"/>
      <c r="AD24" s="648"/>
      <c r="AE24" s="648"/>
      <c r="AF24" s="648"/>
      <c r="AG24" s="648"/>
      <c r="AH24" s="648"/>
      <c r="AI24" s="648"/>
      <c r="AJ24" s="648"/>
      <c r="AK24" s="648"/>
      <c r="AL24" s="648"/>
      <c r="AM24" s="648"/>
      <c r="AN24" s="648"/>
      <c r="AO24" s="649"/>
    </row>
    <row r="25" spans="2:41" ht="21.6" customHeight="1">
      <c r="B25" s="650" t="s">
        <v>4</v>
      </c>
      <c r="C25" s="651"/>
      <c r="D25" s="651"/>
      <c r="E25" s="651"/>
      <c r="F25" s="651"/>
      <c r="G25" s="651"/>
      <c r="H25" s="651"/>
      <c r="I25" s="651"/>
      <c r="J25" s="651"/>
      <c r="K25" s="651"/>
      <c r="L25" s="651"/>
      <c r="M25" s="651"/>
      <c r="N25" s="651"/>
      <c r="O25" s="651"/>
      <c r="P25" s="651"/>
      <c r="Q25" s="651"/>
      <c r="R25" s="651"/>
      <c r="S25" s="651"/>
      <c r="T25" s="651"/>
      <c r="U25" s="652"/>
      <c r="V25" s="653" t="s">
        <v>5</v>
      </c>
      <c r="W25" s="653"/>
      <c r="X25" s="653"/>
      <c r="Y25" s="653"/>
      <c r="Z25" s="653"/>
      <c r="AA25" s="653"/>
      <c r="AB25" s="653"/>
      <c r="AC25" s="653"/>
      <c r="AD25" s="653"/>
      <c r="AE25" s="653"/>
      <c r="AF25" s="653"/>
      <c r="AG25" s="653"/>
      <c r="AH25" s="653"/>
      <c r="AI25" s="653"/>
      <c r="AJ25" s="653"/>
      <c r="AK25" s="653"/>
      <c r="AL25" s="653"/>
      <c r="AM25" s="653"/>
      <c r="AN25" s="653"/>
      <c r="AO25" s="654"/>
    </row>
    <row r="26" spans="2:41" ht="2.5499999999999998" customHeight="1">
      <c r="B26" s="224"/>
      <c r="C26" s="225"/>
      <c r="D26" s="225"/>
      <c r="E26" s="225"/>
      <c r="F26" s="225"/>
      <c r="G26" s="225"/>
      <c r="H26" s="225"/>
      <c r="I26" s="225"/>
      <c r="J26" s="225"/>
      <c r="K26" s="225"/>
      <c r="L26" s="225"/>
      <c r="M26" s="225"/>
      <c r="N26" s="225"/>
      <c r="O26" s="225"/>
      <c r="P26" s="225"/>
      <c r="Q26" s="225"/>
      <c r="R26" s="225"/>
      <c r="S26" s="225"/>
      <c r="T26" s="225"/>
      <c r="U26" s="229"/>
      <c r="V26" s="225"/>
      <c r="W26" s="225"/>
      <c r="X26" s="225"/>
      <c r="Y26" s="225"/>
      <c r="Z26" s="225"/>
      <c r="AA26" s="225"/>
      <c r="AB26" s="225"/>
      <c r="AC26" s="225"/>
      <c r="AD26" s="225"/>
      <c r="AE26" s="225"/>
      <c r="AF26" s="225"/>
      <c r="AG26" s="225"/>
      <c r="AH26" s="225"/>
      <c r="AI26" s="225"/>
      <c r="AJ26" s="225"/>
      <c r="AK26" s="225"/>
      <c r="AL26" s="225"/>
      <c r="AM26" s="225"/>
      <c r="AN26" s="225"/>
      <c r="AO26" s="226"/>
    </row>
    <row r="27" spans="2:41" ht="21.6" customHeight="1">
      <c r="B27" s="634" t="s">
        <v>98</v>
      </c>
      <c r="C27" s="629"/>
      <c r="D27" s="655"/>
      <c r="E27" s="655"/>
      <c r="F27" s="655"/>
      <c r="G27" s="655"/>
      <c r="H27" s="655"/>
      <c r="I27" s="655"/>
      <c r="J27" s="655"/>
      <c r="K27" s="655"/>
      <c r="L27" s="629" t="s">
        <v>446</v>
      </c>
      <c r="M27" s="629"/>
      <c r="N27" s="629"/>
      <c r="O27" s="629"/>
      <c r="P27" s="629"/>
      <c r="Q27" s="629"/>
      <c r="R27" s="618"/>
      <c r="S27" s="618"/>
      <c r="T27" s="618"/>
      <c r="U27" s="630"/>
      <c r="V27" s="629" t="s">
        <v>98</v>
      </c>
      <c r="W27" s="629"/>
      <c r="X27" s="655"/>
      <c r="Y27" s="655"/>
      <c r="Z27" s="655"/>
      <c r="AA27" s="655"/>
      <c r="AB27" s="655"/>
      <c r="AC27" s="655"/>
      <c r="AD27" s="655"/>
      <c r="AE27" s="655"/>
      <c r="AF27" s="617" t="s">
        <v>99</v>
      </c>
      <c r="AG27" s="617"/>
      <c r="AH27" s="617"/>
      <c r="AI27" s="617"/>
      <c r="AJ27" s="617"/>
      <c r="AK27" s="617"/>
      <c r="AL27" s="618"/>
      <c r="AM27" s="618"/>
      <c r="AN27" s="618"/>
      <c r="AO27" s="619"/>
    </row>
    <row r="28" spans="2:41" ht="2.5499999999999998" customHeight="1">
      <c r="B28" s="707"/>
      <c r="C28" s="708"/>
      <c r="D28" s="708"/>
      <c r="E28" s="708"/>
      <c r="F28" s="708"/>
      <c r="G28" s="708"/>
      <c r="H28" s="708"/>
      <c r="I28" s="708"/>
      <c r="J28" s="708"/>
      <c r="K28" s="708"/>
      <c r="L28" s="708"/>
      <c r="M28" s="708"/>
      <c r="N28" s="708"/>
      <c r="O28" s="708"/>
      <c r="P28" s="708"/>
      <c r="Q28" s="708"/>
      <c r="R28" s="708"/>
      <c r="S28" s="708"/>
      <c r="T28" s="708"/>
      <c r="U28" s="710"/>
      <c r="V28" s="708"/>
      <c r="W28" s="708"/>
      <c r="X28" s="708"/>
      <c r="Y28" s="708"/>
      <c r="Z28" s="708"/>
      <c r="AA28" s="708"/>
      <c r="AB28" s="708"/>
      <c r="AC28" s="708"/>
      <c r="AD28" s="708"/>
      <c r="AE28" s="708"/>
      <c r="AF28" s="708"/>
      <c r="AG28" s="708"/>
      <c r="AH28" s="708"/>
      <c r="AI28" s="708"/>
      <c r="AJ28" s="708"/>
      <c r="AK28" s="708"/>
      <c r="AL28" s="708"/>
      <c r="AM28" s="708"/>
      <c r="AN28" s="708"/>
      <c r="AO28" s="709"/>
    </row>
    <row r="29" spans="2:41" ht="2.5499999999999998" customHeight="1">
      <c r="B29" s="704"/>
      <c r="C29" s="705"/>
      <c r="D29" s="705"/>
      <c r="E29" s="705"/>
      <c r="F29" s="705"/>
      <c r="G29" s="705"/>
      <c r="H29" s="705"/>
      <c r="I29" s="705"/>
      <c r="J29" s="705"/>
      <c r="K29" s="705"/>
      <c r="L29" s="705"/>
      <c r="M29" s="705"/>
      <c r="N29" s="705"/>
      <c r="O29" s="705"/>
      <c r="P29" s="705"/>
      <c r="Q29" s="705"/>
      <c r="R29" s="705"/>
      <c r="S29" s="705"/>
      <c r="T29" s="705"/>
      <c r="U29" s="711"/>
      <c r="V29" s="705"/>
      <c r="W29" s="705"/>
      <c r="X29" s="705"/>
      <c r="Y29" s="705"/>
      <c r="Z29" s="705"/>
      <c r="AA29" s="705"/>
      <c r="AB29" s="705"/>
      <c r="AC29" s="705"/>
      <c r="AD29" s="705"/>
      <c r="AE29" s="705"/>
      <c r="AF29" s="705"/>
      <c r="AG29" s="705"/>
      <c r="AH29" s="705"/>
      <c r="AI29" s="705"/>
      <c r="AJ29" s="705"/>
      <c r="AK29" s="705"/>
      <c r="AL29" s="705"/>
      <c r="AM29" s="705"/>
      <c r="AN29" s="705"/>
      <c r="AO29" s="706"/>
    </row>
    <row r="30" spans="2:41" ht="21.6" customHeight="1">
      <c r="B30" s="633" t="s">
        <v>100</v>
      </c>
      <c r="C30" s="617"/>
      <c r="D30" s="617"/>
      <c r="E30" s="617"/>
      <c r="F30" s="635"/>
      <c r="G30" s="635"/>
      <c r="H30" s="635"/>
      <c r="I30" s="635"/>
      <c r="J30" s="635"/>
      <c r="K30" s="635"/>
      <c r="L30" s="629" t="s">
        <v>101</v>
      </c>
      <c r="M30" s="629"/>
      <c r="N30" s="629"/>
      <c r="O30" s="635"/>
      <c r="P30" s="635"/>
      <c r="Q30" s="635"/>
      <c r="R30" s="635"/>
      <c r="S30" s="635"/>
      <c r="T30" s="635"/>
      <c r="U30" s="729"/>
      <c r="V30" s="617" t="s">
        <v>100</v>
      </c>
      <c r="W30" s="617"/>
      <c r="X30" s="617"/>
      <c r="Y30" s="617"/>
      <c r="Z30" s="635"/>
      <c r="AA30" s="635"/>
      <c r="AB30" s="635"/>
      <c r="AC30" s="635"/>
      <c r="AD30" s="635"/>
      <c r="AE30" s="635"/>
      <c r="AF30" s="629" t="s">
        <v>101</v>
      </c>
      <c r="AG30" s="629"/>
      <c r="AH30" s="629"/>
      <c r="AI30" s="635"/>
      <c r="AJ30" s="635"/>
      <c r="AK30" s="635"/>
      <c r="AL30" s="635"/>
      <c r="AM30" s="635"/>
      <c r="AN30" s="635"/>
      <c r="AO30" s="643"/>
    </row>
    <row r="31" spans="2:41" ht="2.5499999999999998" customHeight="1">
      <c r="B31" s="714"/>
      <c r="C31" s="712"/>
      <c r="D31" s="712"/>
      <c r="E31" s="712"/>
      <c r="F31" s="712"/>
      <c r="G31" s="712"/>
      <c r="H31" s="712"/>
      <c r="I31" s="712"/>
      <c r="J31" s="712"/>
      <c r="K31" s="712"/>
      <c r="L31" s="712"/>
      <c r="M31" s="712"/>
      <c r="N31" s="712"/>
      <c r="O31" s="712"/>
      <c r="P31" s="712"/>
      <c r="Q31" s="712"/>
      <c r="R31" s="712"/>
      <c r="S31" s="712"/>
      <c r="T31" s="712"/>
      <c r="U31" s="715"/>
      <c r="V31" s="712"/>
      <c r="W31" s="712"/>
      <c r="X31" s="712"/>
      <c r="Y31" s="712"/>
      <c r="Z31" s="712"/>
      <c r="AA31" s="712"/>
      <c r="AB31" s="712"/>
      <c r="AC31" s="712"/>
      <c r="AD31" s="712"/>
      <c r="AE31" s="712"/>
      <c r="AF31" s="712"/>
      <c r="AG31" s="712"/>
      <c r="AH31" s="712"/>
      <c r="AI31" s="712"/>
      <c r="AJ31" s="712"/>
      <c r="AK31" s="712"/>
      <c r="AL31" s="712"/>
      <c r="AM31" s="712"/>
      <c r="AN31" s="712"/>
      <c r="AO31" s="713"/>
    </row>
    <row r="32" spans="2:41" ht="2.5499999999999998" customHeight="1">
      <c r="B32" s="718"/>
      <c r="C32" s="716"/>
      <c r="D32" s="716"/>
      <c r="E32" s="716"/>
      <c r="F32" s="716"/>
      <c r="G32" s="716"/>
      <c r="H32" s="716"/>
      <c r="I32" s="716"/>
      <c r="J32" s="716"/>
      <c r="K32" s="716"/>
      <c r="L32" s="716"/>
      <c r="M32" s="716"/>
      <c r="N32" s="716"/>
      <c r="O32" s="716"/>
      <c r="P32" s="716"/>
      <c r="Q32" s="716"/>
      <c r="R32" s="716"/>
      <c r="S32" s="716"/>
      <c r="T32" s="716"/>
      <c r="U32" s="719"/>
      <c r="V32" s="716"/>
      <c r="W32" s="716"/>
      <c r="X32" s="716"/>
      <c r="Y32" s="716"/>
      <c r="Z32" s="716"/>
      <c r="AA32" s="716"/>
      <c r="AB32" s="716"/>
      <c r="AC32" s="716"/>
      <c r="AD32" s="716"/>
      <c r="AE32" s="716"/>
      <c r="AF32" s="716"/>
      <c r="AG32" s="716"/>
      <c r="AH32" s="716"/>
      <c r="AI32" s="716"/>
      <c r="AJ32" s="716"/>
      <c r="AK32" s="716"/>
      <c r="AL32" s="716"/>
      <c r="AM32" s="716"/>
      <c r="AN32" s="716"/>
      <c r="AO32" s="717"/>
    </row>
    <row r="33" spans="2:41" ht="21.6" customHeight="1">
      <c r="B33" s="634" t="s">
        <v>102</v>
      </c>
      <c r="C33" s="629"/>
      <c r="D33" s="629"/>
      <c r="E33" s="629"/>
      <c r="F33" s="635"/>
      <c r="G33" s="635"/>
      <c r="H33" s="629" t="s">
        <v>103</v>
      </c>
      <c r="I33" s="629"/>
      <c r="J33" s="629"/>
      <c r="K33" s="629"/>
      <c r="L33" s="629"/>
      <c r="M33" s="635"/>
      <c r="N33" s="635"/>
      <c r="O33" s="617" t="s">
        <v>104</v>
      </c>
      <c r="P33" s="617"/>
      <c r="Q33" s="617"/>
      <c r="R33" s="617"/>
      <c r="S33" s="617"/>
      <c r="T33" s="722" t="str">
        <f>IF(D27=Lists!A10,IF(ISBLANK(F33),M33,IF(2024-F33&lt;30,M33*(1-0.01)^(2024-F33),M33*(1-0.01)^30)),"")</f>
        <v/>
      </c>
      <c r="U33" s="723"/>
      <c r="V33" s="629" t="s">
        <v>102</v>
      </c>
      <c r="W33" s="629"/>
      <c r="X33" s="629"/>
      <c r="Y33" s="629"/>
      <c r="Z33" s="629"/>
      <c r="AA33" s="629"/>
      <c r="AB33" s="635"/>
      <c r="AC33" s="635"/>
      <c r="AD33" s="731"/>
      <c r="AE33" s="731"/>
      <c r="AF33" s="731"/>
      <c r="AG33" s="731"/>
      <c r="AH33" s="731"/>
      <c r="AI33" s="617" t="s">
        <v>105</v>
      </c>
      <c r="AJ33" s="617"/>
      <c r="AK33" s="617"/>
      <c r="AL33" s="617"/>
      <c r="AM33" s="617"/>
      <c r="AN33" s="720"/>
      <c r="AO33" s="721"/>
    </row>
    <row r="34" spans="2:41" ht="2.5499999999999998" customHeight="1">
      <c r="B34" s="707"/>
      <c r="C34" s="708"/>
      <c r="D34" s="708"/>
      <c r="E34" s="708"/>
      <c r="F34" s="708"/>
      <c r="G34" s="708"/>
      <c r="H34" s="708"/>
      <c r="I34" s="708"/>
      <c r="J34" s="708"/>
      <c r="K34" s="708"/>
      <c r="L34" s="708"/>
      <c r="M34" s="708"/>
      <c r="N34" s="708"/>
      <c r="O34" s="708"/>
      <c r="P34" s="708"/>
      <c r="Q34" s="708"/>
      <c r="R34" s="708"/>
      <c r="S34" s="708"/>
      <c r="T34" s="708"/>
      <c r="U34" s="708"/>
      <c r="V34" s="708"/>
      <c r="W34" s="708"/>
      <c r="X34" s="708"/>
      <c r="Y34" s="708"/>
      <c r="Z34" s="708"/>
      <c r="AA34" s="708"/>
      <c r="AB34" s="708"/>
      <c r="AC34" s="708"/>
      <c r="AD34" s="708"/>
      <c r="AE34" s="708"/>
      <c r="AF34" s="708"/>
      <c r="AG34" s="708"/>
      <c r="AH34" s="708"/>
      <c r="AI34" s="708"/>
      <c r="AJ34" s="708"/>
      <c r="AK34" s="708"/>
      <c r="AL34" s="708"/>
      <c r="AM34" s="708"/>
      <c r="AN34" s="708"/>
      <c r="AO34" s="709"/>
    </row>
    <row r="35" spans="2:41" ht="2.5499999999999998" customHeight="1">
      <c r="B35" s="704"/>
      <c r="C35" s="705"/>
      <c r="D35" s="705"/>
      <c r="E35" s="705"/>
      <c r="F35" s="705"/>
      <c r="G35" s="705"/>
      <c r="H35" s="705"/>
      <c r="I35" s="705"/>
      <c r="J35" s="705"/>
      <c r="K35" s="705"/>
      <c r="L35" s="705"/>
      <c r="M35" s="705"/>
      <c r="N35" s="705"/>
      <c r="O35" s="705"/>
      <c r="P35" s="705"/>
      <c r="Q35" s="705"/>
      <c r="R35" s="705"/>
      <c r="S35" s="705"/>
      <c r="T35" s="705"/>
      <c r="U35" s="705"/>
      <c r="V35" s="705"/>
      <c r="W35" s="705"/>
      <c r="X35" s="705"/>
      <c r="Y35" s="705"/>
      <c r="Z35" s="705"/>
      <c r="AA35" s="705"/>
      <c r="AB35" s="705"/>
      <c r="AC35" s="705"/>
      <c r="AD35" s="705"/>
      <c r="AE35" s="705"/>
      <c r="AF35" s="705"/>
      <c r="AG35" s="705"/>
      <c r="AH35" s="705"/>
      <c r="AI35" s="705"/>
      <c r="AJ35" s="705"/>
      <c r="AK35" s="705"/>
      <c r="AL35" s="705"/>
      <c r="AM35" s="705"/>
      <c r="AN35" s="705"/>
      <c r="AO35" s="706"/>
    </row>
    <row r="36" spans="2:41" ht="21.6" customHeight="1">
      <c r="B36" s="631" t="s">
        <v>471</v>
      </c>
      <c r="C36" s="632"/>
      <c r="D36" s="632"/>
      <c r="E36" s="632"/>
      <c r="F36" s="632"/>
      <c r="G36" s="632"/>
      <c r="H36" s="632"/>
      <c r="I36" s="632"/>
      <c r="J36" s="632"/>
      <c r="K36" s="629" t="s">
        <v>204</v>
      </c>
      <c r="L36" s="629"/>
      <c r="M36" s="629"/>
      <c r="N36" s="703"/>
      <c r="O36" s="703"/>
      <c r="P36" s="703"/>
      <c r="Q36" s="703"/>
      <c r="R36" s="703"/>
      <c r="S36" s="703"/>
      <c r="T36" s="228"/>
      <c r="U36" s="228"/>
      <c r="V36" s="223"/>
      <c r="W36" s="223"/>
      <c r="X36" s="223"/>
      <c r="Y36" s="223"/>
      <c r="Z36" s="223"/>
      <c r="AA36" s="223"/>
      <c r="AB36" s="223"/>
      <c r="AC36" s="223"/>
      <c r="AD36" s="223"/>
      <c r="AE36" s="223"/>
      <c r="AF36" s="223"/>
      <c r="AG36" s="223"/>
      <c r="AH36" s="223"/>
      <c r="AI36" s="223"/>
      <c r="AJ36" s="223"/>
      <c r="AK36" s="223"/>
      <c r="AL36" s="223"/>
      <c r="AM36" s="223"/>
      <c r="AN36" s="223"/>
      <c r="AO36" s="227"/>
    </row>
    <row r="37" spans="2:41" ht="2.5499999999999998" customHeight="1">
      <c r="B37" s="707"/>
      <c r="C37" s="708"/>
      <c r="D37" s="708"/>
      <c r="E37" s="708"/>
      <c r="F37" s="708"/>
      <c r="G37" s="708"/>
      <c r="H37" s="708"/>
      <c r="I37" s="708"/>
      <c r="J37" s="708"/>
      <c r="K37" s="708"/>
      <c r="L37" s="708"/>
      <c r="M37" s="708"/>
      <c r="N37" s="708"/>
      <c r="O37" s="708"/>
      <c r="P37" s="708"/>
      <c r="Q37" s="708"/>
      <c r="R37" s="708"/>
      <c r="S37" s="708"/>
      <c r="T37" s="708"/>
      <c r="U37" s="708"/>
      <c r="V37" s="708"/>
      <c r="W37" s="708"/>
      <c r="X37" s="708"/>
      <c r="Y37" s="708"/>
      <c r="Z37" s="708"/>
      <c r="AA37" s="708"/>
      <c r="AB37" s="708"/>
      <c r="AC37" s="708"/>
      <c r="AD37" s="708"/>
      <c r="AE37" s="708"/>
      <c r="AF37" s="708"/>
      <c r="AG37" s="708"/>
      <c r="AH37" s="708"/>
      <c r="AI37" s="708"/>
      <c r="AJ37" s="708"/>
      <c r="AK37" s="708"/>
      <c r="AL37" s="708"/>
      <c r="AM37" s="708"/>
      <c r="AN37" s="708"/>
      <c r="AO37" s="709"/>
    </row>
    <row r="38" spans="2:41" ht="2.5499999999999998" customHeight="1">
      <c r="B38" s="704"/>
      <c r="C38" s="705"/>
      <c r="D38" s="705"/>
      <c r="E38" s="705"/>
      <c r="F38" s="705"/>
      <c r="G38" s="705"/>
      <c r="H38" s="705"/>
      <c r="I38" s="705"/>
      <c r="J38" s="705"/>
      <c r="K38" s="705"/>
      <c r="L38" s="705"/>
      <c r="M38" s="705"/>
      <c r="N38" s="705"/>
      <c r="O38" s="705"/>
      <c r="P38" s="705"/>
      <c r="Q38" s="705"/>
      <c r="R38" s="705"/>
      <c r="S38" s="705"/>
      <c r="T38" s="705"/>
      <c r="U38" s="705"/>
      <c r="V38" s="705"/>
      <c r="W38" s="705"/>
      <c r="X38" s="705"/>
      <c r="Y38" s="705"/>
      <c r="Z38" s="705"/>
      <c r="AA38" s="705"/>
      <c r="AB38" s="705"/>
      <c r="AC38" s="705"/>
      <c r="AD38" s="705"/>
      <c r="AE38" s="705"/>
      <c r="AF38" s="705"/>
      <c r="AG38" s="705"/>
      <c r="AH38" s="705"/>
      <c r="AI38" s="705"/>
      <c r="AJ38" s="705"/>
      <c r="AK38" s="705"/>
      <c r="AL38" s="705"/>
      <c r="AM38" s="705"/>
      <c r="AN38" s="705"/>
      <c r="AO38" s="706"/>
    </row>
    <row r="39" spans="2:41" ht="21.6" customHeight="1">
      <c r="B39" s="631" t="s">
        <v>472</v>
      </c>
      <c r="C39" s="632"/>
      <c r="D39" s="632"/>
      <c r="E39" s="632"/>
      <c r="F39" s="632"/>
      <c r="G39" s="632"/>
      <c r="H39" s="632"/>
      <c r="I39" s="632"/>
      <c r="J39" s="632"/>
      <c r="K39" s="617" t="s">
        <v>106</v>
      </c>
      <c r="L39" s="617"/>
      <c r="M39" s="617"/>
      <c r="N39" s="655"/>
      <c r="O39" s="655"/>
      <c r="P39" s="655"/>
      <c r="Q39" s="655"/>
      <c r="R39" s="617" t="s">
        <v>204</v>
      </c>
      <c r="S39" s="617"/>
      <c r="T39" s="635"/>
      <c r="U39" s="635"/>
      <c r="V39" s="635"/>
      <c r="W39" s="635"/>
      <c r="X39" s="635"/>
      <c r="Y39" s="635"/>
      <c r="Z39" s="635"/>
      <c r="AA39" s="635"/>
      <c r="AB39" s="725" t="s">
        <v>107</v>
      </c>
      <c r="AC39" s="725"/>
      <c r="AD39" s="725"/>
      <c r="AE39" s="725"/>
      <c r="AF39" s="724"/>
      <c r="AG39" s="724"/>
      <c r="AH39" s="724"/>
      <c r="AI39" s="724"/>
      <c r="AJ39" s="724"/>
      <c r="AK39" s="724"/>
      <c r="AL39" s="724"/>
      <c r="AM39" s="724"/>
      <c r="AN39" s="724"/>
      <c r="AO39" s="243"/>
    </row>
    <row r="40" spans="2:41" ht="2.5499999999999998" customHeight="1" thickBot="1">
      <c r="B40" s="726"/>
      <c r="C40" s="727"/>
      <c r="D40" s="727"/>
      <c r="E40" s="727"/>
      <c r="F40" s="727"/>
      <c r="G40" s="727"/>
      <c r="H40" s="727"/>
      <c r="I40" s="727"/>
      <c r="J40" s="727"/>
      <c r="K40" s="727"/>
      <c r="L40" s="727"/>
      <c r="M40" s="727"/>
      <c r="N40" s="727"/>
      <c r="O40" s="727"/>
      <c r="P40" s="727"/>
      <c r="Q40" s="727"/>
      <c r="R40" s="727"/>
      <c r="S40" s="727"/>
      <c r="T40" s="727"/>
      <c r="U40" s="727"/>
      <c r="V40" s="727"/>
      <c r="W40" s="727"/>
      <c r="X40" s="727"/>
      <c r="Y40" s="727"/>
      <c r="Z40" s="727"/>
      <c r="AA40" s="727"/>
      <c r="AB40" s="727"/>
      <c r="AC40" s="727"/>
      <c r="AD40" s="727"/>
      <c r="AE40" s="727"/>
      <c r="AF40" s="727"/>
      <c r="AG40" s="727"/>
      <c r="AH40" s="727"/>
      <c r="AI40" s="727"/>
      <c r="AJ40" s="727"/>
      <c r="AK40" s="727"/>
      <c r="AL40" s="727"/>
      <c r="AM40" s="727"/>
      <c r="AN40" s="727"/>
      <c r="AO40" s="728"/>
    </row>
    <row r="41" spans="2:41" ht="7.95" customHeight="1" thickBot="1">
      <c r="B41" s="642"/>
      <c r="C41" s="642"/>
      <c r="D41" s="642"/>
      <c r="E41" s="642"/>
      <c r="F41" s="642"/>
      <c r="G41" s="642"/>
      <c r="H41" s="642"/>
      <c r="I41" s="642"/>
      <c r="J41" s="642"/>
      <c r="K41" s="642"/>
      <c r="L41" s="642"/>
      <c r="M41" s="642"/>
      <c r="N41" s="642"/>
      <c r="O41" s="642"/>
      <c r="P41" s="642"/>
      <c r="Q41" s="642"/>
      <c r="R41" s="642"/>
      <c r="S41" s="642"/>
      <c r="T41" s="642"/>
      <c r="U41" s="642"/>
      <c r="V41" s="642"/>
      <c r="W41" s="642"/>
      <c r="X41" s="642"/>
      <c r="Y41" s="642"/>
      <c r="Z41" s="642"/>
      <c r="AA41" s="642"/>
      <c r="AB41" s="642"/>
      <c r="AC41" s="642"/>
      <c r="AD41" s="642"/>
      <c r="AE41" s="642"/>
      <c r="AF41" s="642"/>
      <c r="AG41" s="642"/>
      <c r="AH41" s="642"/>
      <c r="AI41" s="642"/>
      <c r="AJ41" s="642"/>
      <c r="AK41" s="642"/>
      <c r="AL41" s="642"/>
      <c r="AM41" s="642"/>
      <c r="AN41" s="642"/>
      <c r="AO41" s="642"/>
    </row>
    <row r="42" spans="2:41" ht="21.6" customHeight="1">
      <c r="B42" s="639" t="s">
        <v>201</v>
      </c>
      <c r="C42" s="640"/>
      <c r="D42" s="640"/>
      <c r="E42" s="640"/>
      <c r="F42" s="640"/>
      <c r="G42" s="640"/>
      <c r="H42" s="640"/>
      <c r="I42" s="640"/>
      <c r="J42" s="640"/>
      <c r="K42" s="640"/>
      <c r="L42" s="640"/>
      <c r="M42" s="640"/>
      <c r="N42" s="640"/>
      <c r="O42" s="640"/>
      <c r="P42" s="640"/>
      <c r="Q42" s="640"/>
      <c r="R42" s="640"/>
      <c r="S42" s="640"/>
      <c r="T42" s="640"/>
      <c r="U42" s="640"/>
      <c r="V42" s="640"/>
      <c r="W42" s="640"/>
      <c r="X42" s="640"/>
      <c r="Y42" s="640"/>
      <c r="Z42" s="640"/>
      <c r="AA42" s="640"/>
      <c r="AB42" s="640"/>
      <c r="AC42" s="640"/>
      <c r="AD42" s="640"/>
      <c r="AE42" s="640"/>
      <c r="AF42" s="640"/>
      <c r="AG42" s="640"/>
      <c r="AH42" s="640"/>
      <c r="AI42" s="640"/>
      <c r="AJ42" s="640"/>
      <c r="AK42" s="640"/>
      <c r="AL42" s="640"/>
      <c r="AM42" s="640"/>
      <c r="AN42" s="640"/>
      <c r="AO42" s="641"/>
    </row>
    <row r="43" spans="2:41" ht="21.6" customHeight="1">
      <c r="B43" s="636" t="s">
        <v>200</v>
      </c>
      <c r="C43" s="637"/>
      <c r="D43" s="637"/>
      <c r="E43" s="637"/>
      <c r="F43" s="637"/>
      <c r="G43" s="637"/>
      <c r="H43" s="637"/>
      <c r="I43" s="637"/>
      <c r="J43" s="637"/>
      <c r="K43" s="637"/>
      <c r="L43" s="637"/>
      <c r="M43" s="637"/>
      <c r="N43" s="637"/>
      <c r="O43" s="637"/>
      <c r="P43" s="637"/>
      <c r="Q43" s="637"/>
      <c r="R43" s="637"/>
      <c r="S43" s="637"/>
      <c r="T43" s="637"/>
      <c r="U43" s="637"/>
      <c r="V43" s="637"/>
      <c r="W43" s="637"/>
      <c r="X43" s="637"/>
      <c r="Y43" s="637"/>
      <c r="Z43" s="637"/>
      <c r="AA43" s="637"/>
      <c r="AB43" s="637"/>
      <c r="AC43" s="637"/>
      <c r="AD43" s="637"/>
      <c r="AE43" s="637"/>
      <c r="AF43" s="637"/>
      <c r="AG43" s="637"/>
      <c r="AH43" s="637"/>
      <c r="AI43" s="637"/>
      <c r="AJ43" s="637"/>
      <c r="AK43" s="637"/>
      <c r="AL43" s="637"/>
      <c r="AM43" s="637"/>
      <c r="AN43" s="637"/>
      <c r="AO43" s="638"/>
    </row>
    <row r="44" spans="2:41" ht="21.6" customHeight="1">
      <c r="B44" s="608"/>
      <c r="C44" s="609"/>
      <c r="D44" s="609"/>
      <c r="E44" s="609"/>
      <c r="F44" s="609"/>
      <c r="G44" s="609"/>
      <c r="H44" s="609"/>
      <c r="I44" s="609"/>
      <c r="J44" s="609"/>
      <c r="K44" s="609"/>
      <c r="L44" s="609"/>
      <c r="M44" s="609"/>
      <c r="N44" s="609"/>
      <c r="O44" s="609"/>
      <c r="P44" s="609"/>
      <c r="Q44" s="609"/>
      <c r="R44" s="609"/>
      <c r="S44" s="609"/>
      <c r="T44" s="609"/>
      <c r="U44" s="609"/>
      <c r="V44" s="609"/>
      <c r="W44" s="609"/>
      <c r="X44" s="609"/>
      <c r="Y44" s="609"/>
      <c r="Z44" s="609"/>
      <c r="AA44" s="609"/>
      <c r="AB44" s="609"/>
      <c r="AC44" s="609"/>
      <c r="AD44" s="609"/>
      <c r="AE44" s="609"/>
      <c r="AF44" s="609"/>
      <c r="AG44" s="609"/>
      <c r="AH44" s="609"/>
      <c r="AI44" s="609"/>
      <c r="AJ44" s="609"/>
      <c r="AK44" s="609"/>
      <c r="AL44" s="609"/>
      <c r="AM44" s="609"/>
      <c r="AN44" s="609"/>
      <c r="AO44" s="610"/>
    </row>
    <row r="45" spans="2:41" ht="21.6" customHeight="1">
      <c r="B45" s="608"/>
      <c r="C45" s="609"/>
      <c r="D45" s="609"/>
      <c r="E45" s="609"/>
      <c r="F45" s="609"/>
      <c r="G45" s="609"/>
      <c r="H45" s="609"/>
      <c r="I45" s="609"/>
      <c r="J45" s="609"/>
      <c r="K45" s="609"/>
      <c r="L45" s="609"/>
      <c r="M45" s="609"/>
      <c r="N45" s="609"/>
      <c r="O45" s="609"/>
      <c r="P45" s="609"/>
      <c r="Q45" s="609"/>
      <c r="R45" s="609"/>
      <c r="S45" s="609"/>
      <c r="T45" s="609"/>
      <c r="U45" s="609"/>
      <c r="V45" s="609"/>
      <c r="W45" s="609"/>
      <c r="X45" s="609"/>
      <c r="Y45" s="609"/>
      <c r="Z45" s="609"/>
      <c r="AA45" s="609"/>
      <c r="AB45" s="609"/>
      <c r="AC45" s="609"/>
      <c r="AD45" s="609"/>
      <c r="AE45" s="609"/>
      <c r="AF45" s="609"/>
      <c r="AG45" s="609"/>
      <c r="AH45" s="609"/>
      <c r="AI45" s="609"/>
      <c r="AJ45" s="609"/>
      <c r="AK45" s="609"/>
      <c r="AL45" s="609"/>
      <c r="AM45" s="609"/>
      <c r="AN45" s="609"/>
      <c r="AO45" s="610"/>
    </row>
    <row r="46" spans="2:41" ht="21.6" customHeight="1">
      <c r="B46" s="608"/>
      <c r="C46" s="609"/>
      <c r="D46" s="609"/>
      <c r="E46" s="609"/>
      <c r="F46" s="609"/>
      <c r="G46" s="609"/>
      <c r="H46" s="609"/>
      <c r="I46" s="609"/>
      <c r="J46" s="609"/>
      <c r="K46" s="609"/>
      <c r="L46" s="609"/>
      <c r="M46" s="609"/>
      <c r="N46" s="609"/>
      <c r="O46" s="609"/>
      <c r="P46" s="609"/>
      <c r="Q46" s="609"/>
      <c r="R46" s="609"/>
      <c r="S46" s="609"/>
      <c r="T46" s="609"/>
      <c r="U46" s="609"/>
      <c r="V46" s="609"/>
      <c r="W46" s="609"/>
      <c r="X46" s="609"/>
      <c r="Y46" s="609"/>
      <c r="Z46" s="609"/>
      <c r="AA46" s="609"/>
      <c r="AB46" s="609"/>
      <c r="AC46" s="609"/>
      <c r="AD46" s="609"/>
      <c r="AE46" s="609"/>
      <c r="AF46" s="609"/>
      <c r="AG46" s="609"/>
      <c r="AH46" s="609"/>
      <c r="AI46" s="609"/>
      <c r="AJ46" s="609"/>
      <c r="AK46" s="609"/>
      <c r="AL46" s="609"/>
      <c r="AM46" s="609"/>
      <c r="AN46" s="609"/>
      <c r="AO46" s="610"/>
    </row>
    <row r="47" spans="2:41" ht="21.6" customHeight="1">
      <c r="B47" s="608"/>
      <c r="C47" s="609"/>
      <c r="D47" s="609"/>
      <c r="E47" s="609"/>
      <c r="F47" s="609"/>
      <c r="G47" s="609"/>
      <c r="H47" s="609"/>
      <c r="I47" s="609"/>
      <c r="J47" s="609"/>
      <c r="K47" s="609"/>
      <c r="L47" s="609"/>
      <c r="M47" s="609"/>
      <c r="N47" s="609"/>
      <c r="O47" s="609"/>
      <c r="P47" s="609"/>
      <c r="Q47" s="609"/>
      <c r="R47" s="609"/>
      <c r="S47" s="609"/>
      <c r="T47" s="609"/>
      <c r="U47" s="609"/>
      <c r="V47" s="609"/>
      <c r="W47" s="609"/>
      <c r="X47" s="609"/>
      <c r="Y47" s="609"/>
      <c r="Z47" s="609"/>
      <c r="AA47" s="609"/>
      <c r="AB47" s="609"/>
      <c r="AC47" s="609"/>
      <c r="AD47" s="609"/>
      <c r="AE47" s="609"/>
      <c r="AF47" s="609"/>
      <c r="AG47" s="609"/>
      <c r="AH47" s="609"/>
      <c r="AI47" s="609"/>
      <c r="AJ47" s="609"/>
      <c r="AK47" s="609"/>
      <c r="AL47" s="609"/>
      <c r="AM47" s="609"/>
      <c r="AN47" s="609"/>
      <c r="AO47" s="610"/>
    </row>
    <row r="48" spans="2:41" ht="21.6" customHeight="1">
      <c r="B48" s="608"/>
      <c r="C48" s="609"/>
      <c r="D48" s="609"/>
      <c r="E48" s="609"/>
      <c r="F48" s="609"/>
      <c r="G48" s="609"/>
      <c r="H48" s="609"/>
      <c r="I48" s="609"/>
      <c r="J48" s="609"/>
      <c r="K48" s="609"/>
      <c r="L48" s="609"/>
      <c r="M48" s="609"/>
      <c r="N48" s="609"/>
      <c r="O48" s="609"/>
      <c r="P48" s="609"/>
      <c r="Q48" s="609"/>
      <c r="R48" s="609"/>
      <c r="S48" s="609"/>
      <c r="T48" s="609"/>
      <c r="U48" s="609"/>
      <c r="V48" s="609"/>
      <c r="W48" s="609"/>
      <c r="X48" s="609"/>
      <c r="Y48" s="609"/>
      <c r="Z48" s="609"/>
      <c r="AA48" s="609"/>
      <c r="AB48" s="609"/>
      <c r="AC48" s="609"/>
      <c r="AD48" s="609"/>
      <c r="AE48" s="609"/>
      <c r="AF48" s="609"/>
      <c r="AG48" s="609"/>
      <c r="AH48" s="609"/>
      <c r="AI48" s="609"/>
      <c r="AJ48" s="609"/>
      <c r="AK48" s="609"/>
      <c r="AL48" s="609"/>
      <c r="AM48" s="609"/>
      <c r="AN48" s="609"/>
      <c r="AO48" s="610"/>
    </row>
    <row r="49" spans="2:41" ht="21.6" customHeight="1">
      <c r="B49" s="608"/>
      <c r="C49" s="609"/>
      <c r="D49" s="609"/>
      <c r="E49" s="609"/>
      <c r="F49" s="609"/>
      <c r="G49" s="609"/>
      <c r="H49" s="609"/>
      <c r="I49" s="609"/>
      <c r="J49" s="609"/>
      <c r="K49" s="609"/>
      <c r="L49" s="609"/>
      <c r="M49" s="609"/>
      <c r="N49" s="609"/>
      <c r="O49" s="609"/>
      <c r="P49" s="609"/>
      <c r="Q49" s="609"/>
      <c r="R49" s="609"/>
      <c r="S49" s="609"/>
      <c r="T49" s="609"/>
      <c r="U49" s="609"/>
      <c r="V49" s="609"/>
      <c r="W49" s="609"/>
      <c r="X49" s="609"/>
      <c r="Y49" s="609"/>
      <c r="Z49" s="609"/>
      <c r="AA49" s="609"/>
      <c r="AB49" s="609"/>
      <c r="AC49" s="609"/>
      <c r="AD49" s="609"/>
      <c r="AE49" s="609"/>
      <c r="AF49" s="609"/>
      <c r="AG49" s="609"/>
      <c r="AH49" s="609"/>
      <c r="AI49" s="609"/>
      <c r="AJ49" s="609"/>
      <c r="AK49" s="609"/>
      <c r="AL49" s="609"/>
      <c r="AM49" s="609"/>
      <c r="AN49" s="609"/>
      <c r="AO49" s="610"/>
    </row>
    <row r="50" spans="2:41">
      <c r="B50" s="608"/>
      <c r="C50" s="609"/>
      <c r="D50" s="609"/>
      <c r="E50" s="609"/>
      <c r="F50" s="609"/>
      <c r="G50" s="609"/>
      <c r="H50" s="609"/>
      <c r="I50" s="609"/>
      <c r="J50" s="609"/>
      <c r="K50" s="609"/>
      <c r="L50" s="609"/>
      <c r="M50" s="609"/>
      <c r="N50" s="609"/>
      <c r="O50" s="609"/>
      <c r="P50" s="609"/>
      <c r="Q50" s="609"/>
      <c r="R50" s="609"/>
      <c r="S50" s="609"/>
      <c r="T50" s="609"/>
      <c r="U50" s="609"/>
      <c r="V50" s="609"/>
      <c r="W50" s="609"/>
      <c r="X50" s="609"/>
      <c r="Y50" s="609"/>
      <c r="Z50" s="609"/>
      <c r="AA50" s="609"/>
      <c r="AB50" s="609"/>
      <c r="AC50" s="609"/>
      <c r="AD50" s="609"/>
      <c r="AE50" s="609"/>
      <c r="AF50" s="609"/>
      <c r="AG50" s="609"/>
      <c r="AH50" s="609"/>
      <c r="AI50" s="609"/>
      <c r="AJ50" s="609"/>
      <c r="AK50" s="609"/>
      <c r="AL50" s="609"/>
      <c r="AM50" s="609"/>
      <c r="AN50" s="609"/>
      <c r="AO50" s="610"/>
    </row>
    <row r="51" spans="2:41">
      <c r="B51" s="608"/>
      <c r="C51" s="609"/>
      <c r="D51" s="609"/>
      <c r="E51" s="609"/>
      <c r="F51" s="609"/>
      <c r="G51" s="609"/>
      <c r="H51" s="609"/>
      <c r="I51" s="609"/>
      <c r="J51" s="609"/>
      <c r="K51" s="609"/>
      <c r="L51" s="609"/>
      <c r="M51" s="609"/>
      <c r="N51" s="609"/>
      <c r="O51" s="609"/>
      <c r="P51" s="609"/>
      <c r="Q51" s="609"/>
      <c r="R51" s="609"/>
      <c r="S51" s="609"/>
      <c r="T51" s="609"/>
      <c r="U51" s="609"/>
      <c r="V51" s="609"/>
      <c r="W51" s="609"/>
      <c r="X51" s="609"/>
      <c r="Y51" s="609"/>
      <c r="Z51" s="609"/>
      <c r="AA51" s="609"/>
      <c r="AB51" s="609"/>
      <c r="AC51" s="609"/>
      <c r="AD51" s="609"/>
      <c r="AE51" s="609"/>
      <c r="AF51" s="609"/>
      <c r="AG51" s="609"/>
      <c r="AH51" s="609"/>
      <c r="AI51" s="609"/>
      <c r="AJ51" s="609"/>
      <c r="AK51" s="609"/>
      <c r="AL51" s="609"/>
      <c r="AM51" s="609"/>
      <c r="AN51" s="609"/>
      <c r="AO51" s="610"/>
    </row>
    <row r="52" spans="2:41">
      <c r="B52" s="608"/>
      <c r="C52" s="609"/>
      <c r="D52" s="609"/>
      <c r="E52" s="609"/>
      <c r="F52" s="609"/>
      <c r="G52" s="609"/>
      <c r="H52" s="609"/>
      <c r="I52" s="609"/>
      <c r="J52" s="609"/>
      <c r="K52" s="609"/>
      <c r="L52" s="609"/>
      <c r="M52" s="609"/>
      <c r="N52" s="609"/>
      <c r="O52" s="609"/>
      <c r="P52" s="609"/>
      <c r="Q52" s="609"/>
      <c r="R52" s="609"/>
      <c r="S52" s="609"/>
      <c r="T52" s="609"/>
      <c r="U52" s="609"/>
      <c r="V52" s="609"/>
      <c r="W52" s="609"/>
      <c r="X52" s="609"/>
      <c r="Y52" s="609"/>
      <c r="Z52" s="609"/>
      <c r="AA52" s="609"/>
      <c r="AB52" s="609"/>
      <c r="AC52" s="609"/>
      <c r="AD52" s="609"/>
      <c r="AE52" s="609"/>
      <c r="AF52" s="609"/>
      <c r="AG52" s="609"/>
      <c r="AH52" s="609"/>
      <c r="AI52" s="609"/>
      <c r="AJ52" s="609"/>
      <c r="AK52" s="609"/>
      <c r="AL52" s="609"/>
      <c r="AM52" s="609"/>
      <c r="AN52" s="609"/>
      <c r="AO52" s="610"/>
    </row>
    <row r="53" spans="2:41">
      <c r="B53" s="608"/>
      <c r="C53" s="609"/>
      <c r="D53" s="609"/>
      <c r="E53" s="609"/>
      <c r="F53" s="609"/>
      <c r="G53" s="609"/>
      <c r="H53" s="609"/>
      <c r="I53" s="609"/>
      <c r="J53" s="609"/>
      <c r="K53" s="609"/>
      <c r="L53" s="609"/>
      <c r="M53" s="609"/>
      <c r="N53" s="609"/>
      <c r="O53" s="609"/>
      <c r="P53" s="609"/>
      <c r="Q53" s="609"/>
      <c r="R53" s="609"/>
      <c r="S53" s="609"/>
      <c r="T53" s="609"/>
      <c r="U53" s="609"/>
      <c r="V53" s="609"/>
      <c r="W53" s="609"/>
      <c r="X53" s="609"/>
      <c r="Y53" s="609"/>
      <c r="Z53" s="609"/>
      <c r="AA53" s="609"/>
      <c r="AB53" s="609"/>
      <c r="AC53" s="609"/>
      <c r="AD53" s="609"/>
      <c r="AE53" s="609"/>
      <c r="AF53" s="609"/>
      <c r="AG53" s="609"/>
      <c r="AH53" s="609"/>
      <c r="AI53" s="609"/>
      <c r="AJ53" s="609"/>
      <c r="AK53" s="609"/>
      <c r="AL53" s="609"/>
      <c r="AM53" s="609"/>
      <c r="AN53" s="609"/>
      <c r="AO53" s="610"/>
    </row>
    <row r="54" spans="2:41" ht="15" thickBot="1">
      <c r="B54" s="611"/>
      <c r="C54" s="612"/>
      <c r="D54" s="612"/>
      <c r="E54" s="612"/>
      <c r="F54" s="612"/>
      <c r="G54" s="612"/>
      <c r="H54" s="612"/>
      <c r="I54" s="612"/>
      <c r="J54" s="612"/>
      <c r="K54" s="612"/>
      <c r="L54" s="612"/>
      <c r="M54" s="612"/>
      <c r="N54" s="612"/>
      <c r="O54" s="612"/>
      <c r="P54" s="612"/>
      <c r="Q54" s="612"/>
      <c r="R54" s="612"/>
      <c r="S54" s="612"/>
      <c r="T54" s="612"/>
      <c r="U54" s="612"/>
      <c r="V54" s="612"/>
      <c r="W54" s="612"/>
      <c r="X54" s="612"/>
      <c r="Y54" s="612"/>
      <c r="Z54" s="612"/>
      <c r="AA54" s="612"/>
      <c r="AB54" s="612"/>
      <c r="AC54" s="612"/>
      <c r="AD54" s="612"/>
      <c r="AE54" s="612"/>
      <c r="AF54" s="612"/>
      <c r="AG54" s="612"/>
      <c r="AH54" s="612"/>
      <c r="AI54" s="612"/>
      <c r="AJ54" s="612"/>
      <c r="AK54" s="612"/>
      <c r="AL54" s="612"/>
      <c r="AM54" s="612"/>
      <c r="AN54" s="612"/>
      <c r="AO54" s="613"/>
    </row>
  </sheetData>
  <sheetProtection algorithmName="SHA-512" hashValue="EAgjyO7+3SFr2ZQHx9YNtSdA+B1ZY/DX83PjvyQXZcoXhvfGFFyiRUdUNq6PrDz8S3BYwrhERAyaNXxnmTQ/RA==" saltValue="QGHNf2Xy0srZC8ZclCdUOg==" spinCount="100000" sheet="1" selectLockedCells="1"/>
  <mergeCells count="110">
    <mergeCell ref="AF39:AN39"/>
    <mergeCell ref="AB39:AE39"/>
    <mergeCell ref="T39:AA39"/>
    <mergeCell ref="G20:P20"/>
    <mergeCell ref="Q17:T17"/>
    <mergeCell ref="Q20:T20"/>
    <mergeCell ref="U20:AA20"/>
    <mergeCell ref="U17:AA17"/>
    <mergeCell ref="B40:AO40"/>
    <mergeCell ref="B38:AO38"/>
    <mergeCell ref="R39:S39"/>
    <mergeCell ref="N39:Q39"/>
    <mergeCell ref="AF20:AO20"/>
    <mergeCell ref="O30:U30"/>
    <mergeCell ref="V30:Y30"/>
    <mergeCell ref="Z30:AE30"/>
    <mergeCell ref="AB20:AE20"/>
    <mergeCell ref="B22:AO22"/>
    <mergeCell ref="X27:AE27"/>
    <mergeCell ref="AB33:AC33"/>
    <mergeCell ref="AD33:AH33"/>
    <mergeCell ref="AI33:AM33"/>
    <mergeCell ref="B36:J36"/>
    <mergeCell ref="K36:M36"/>
    <mergeCell ref="N36:S36"/>
    <mergeCell ref="B35:AO35"/>
    <mergeCell ref="B37:AO37"/>
    <mergeCell ref="V28:AO28"/>
    <mergeCell ref="B28:U28"/>
    <mergeCell ref="V29:AO29"/>
    <mergeCell ref="B29:U29"/>
    <mergeCell ref="V31:AO31"/>
    <mergeCell ref="B31:U31"/>
    <mergeCell ref="V32:AO32"/>
    <mergeCell ref="B32:U32"/>
    <mergeCell ref="AN33:AO33"/>
    <mergeCell ref="T33:U33"/>
    <mergeCell ref="B34:AO34"/>
    <mergeCell ref="B15:AO15"/>
    <mergeCell ref="AB17:AE17"/>
    <mergeCell ref="AF17:AO17"/>
    <mergeCell ref="B16:AO16"/>
    <mergeCell ref="B12:E12"/>
    <mergeCell ref="F12:G12"/>
    <mergeCell ref="B14:AO14"/>
    <mergeCell ref="H12:L12"/>
    <mergeCell ref="B4:AO4"/>
    <mergeCell ref="B5:AO5"/>
    <mergeCell ref="B8:AO8"/>
    <mergeCell ref="B11:AO11"/>
    <mergeCell ref="B13:AO13"/>
    <mergeCell ref="B7:AO7"/>
    <mergeCell ref="B10:AO10"/>
    <mergeCell ref="X6:AE6"/>
    <mergeCell ref="AF6:AG6"/>
    <mergeCell ref="V12:AO12"/>
    <mergeCell ref="B17:F17"/>
    <mergeCell ref="G17:P17"/>
    <mergeCell ref="B1:AO1"/>
    <mergeCell ref="AN9:AO9"/>
    <mergeCell ref="AK9:AM9"/>
    <mergeCell ref="AI9:AJ9"/>
    <mergeCell ref="AF9:AH9"/>
    <mergeCell ref="AD9:AE9"/>
    <mergeCell ref="Y9:AC9"/>
    <mergeCell ref="K9:N9"/>
    <mergeCell ref="G9:I9"/>
    <mergeCell ref="B3:AO3"/>
    <mergeCell ref="B6:D6"/>
    <mergeCell ref="E6:T6"/>
    <mergeCell ref="U6:W6"/>
    <mergeCell ref="AH6:AJ6"/>
    <mergeCell ref="R9:X9"/>
    <mergeCell ref="AK6:AO6"/>
    <mergeCell ref="B9:E9"/>
    <mergeCell ref="O9:Q9"/>
    <mergeCell ref="B2:AO2"/>
    <mergeCell ref="B23:AO23"/>
    <mergeCell ref="B24:AO24"/>
    <mergeCell ref="B25:U25"/>
    <mergeCell ref="V25:AO25"/>
    <mergeCell ref="B27:C27"/>
    <mergeCell ref="D27:K27"/>
    <mergeCell ref="L27:Q27"/>
    <mergeCell ref="L30:N30"/>
    <mergeCell ref="F30:K30"/>
    <mergeCell ref="B44:AO54"/>
    <mergeCell ref="B20:F20"/>
    <mergeCell ref="M12:S12"/>
    <mergeCell ref="AF27:AK27"/>
    <mergeCell ref="AL27:AO27"/>
    <mergeCell ref="B18:AO18"/>
    <mergeCell ref="B19:AO19"/>
    <mergeCell ref="B21:AO21"/>
    <mergeCell ref="AF30:AH30"/>
    <mergeCell ref="R27:U27"/>
    <mergeCell ref="V27:W27"/>
    <mergeCell ref="B39:J39"/>
    <mergeCell ref="K39:M39"/>
    <mergeCell ref="B30:E30"/>
    <mergeCell ref="V33:AA33"/>
    <mergeCell ref="B33:E33"/>
    <mergeCell ref="F33:G33"/>
    <mergeCell ref="H33:L33"/>
    <mergeCell ref="M33:N33"/>
    <mergeCell ref="O33:S33"/>
    <mergeCell ref="B43:AO43"/>
    <mergeCell ref="B42:AO42"/>
    <mergeCell ref="B41:AO41"/>
    <mergeCell ref="AI30:AO30"/>
  </mergeCells>
  <conditionalFormatting sqref="E6:T6 X6:AE6 AK6:AO6 G20 G17 U20 U17 AF39">
    <cfRule type="containsBlanks" dxfId="129" priority="12">
      <formula>LEN(TRIM(E6))=0</formula>
    </cfRule>
  </conditionalFormatting>
  <conditionalFormatting sqref="E6:T6 X6:AE6 AK6:AO6 F9 J9 R9:X9 AD9:AE9 AI9:AJ9 AN9:AO9 F12:G12 U12 AF17:AO17 D27:K27 R27:U27 X27:AE27 AL27:AO27 F30:K30 O30:U30 Z30:AE30 AI30:AO30 F33:G33 M33:N33 AN33:AO33 AF20:AO20">
    <cfRule type="containsBlanks" dxfId="128" priority="4">
      <formula>LEN(TRIM(D6))=0</formula>
    </cfRule>
  </conditionalFormatting>
  <conditionalFormatting sqref="M12:S12">
    <cfRule type="containsBlanks" dxfId="127" priority="3">
      <formula>LEN(TRIM(M12))=0</formula>
    </cfRule>
  </conditionalFormatting>
  <conditionalFormatting sqref="AB33:AC33">
    <cfRule type="containsBlanks" dxfId="126" priority="2">
      <formula>LEN(TRIM(AB33))=0</formula>
    </cfRule>
  </conditionalFormatting>
  <conditionalFormatting sqref="N36:S36 N39:Q39 T39">
    <cfRule type="containsBlanks" dxfId="125" priority="1">
      <formula>LEN(TRIM(N36))=0</formula>
    </cfRule>
  </conditionalFormatting>
  <dataValidations count="1">
    <dataValidation showInputMessage="1" showErrorMessage="1" sqref="AT9" xr:uid="{94A86DF4-4739-42D8-BCDE-8B3251C0DED6}"/>
  </dataValidations>
  <pageMargins left="0.25" right="0.25" top="0.75" bottom="0.75" header="0.3" footer="0.3"/>
  <pageSetup scale="96" orientation="portrait" horizontalDpi="1200" verticalDpi="1200" r:id="rId1"/>
  <extLst>
    <ext xmlns:x14="http://schemas.microsoft.com/office/spreadsheetml/2009/9/main" uri="{CCE6A557-97BC-4b89-ADB6-D9C93CAAB3DF}">
      <x14:dataValidations xmlns:xm="http://schemas.microsoft.com/office/excel/2006/main" count="11">
        <x14:dataValidation type="list" allowBlank="1" showInputMessage="1" showErrorMessage="1" xr:uid="{B9CB4265-A2C4-4BB8-9E7F-959D3DF50483}">
          <x14:formula1>
            <xm:f>Lists!$T$1:$T$4</xm:f>
          </x14:formula1>
          <xm:sqref>F12:G12</xm:sqref>
        </x14:dataValidation>
        <x14:dataValidation type="list" allowBlank="1" showInputMessage="1" showErrorMessage="1" xr:uid="{A99EC74C-EAB7-45F1-8900-A82EE2329F3E}">
          <x14:formula1>
            <xm:f>Lists!$G$1:$G$8</xm:f>
          </x14:formula1>
          <xm:sqref>R9:X9</xm:sqref>
        </x14:dataValidation>
        <x14:dataValidation type="list" allowBlank="1" showInputMessage="1" showErrorMessage="1" xr:uid="{19296B8F-45D0-4DBD-AC0C-4A20562D70CE}">
          <x14:formula1>
            <xm:f>Lists!$J$1:$J$5</xm:f>
          </x14:formula1>
          <xm:sqref>N36:S36</xm:sqref>
        </x14:dataValidation>
        <x14:dataValidation type="list" allowBlank="1" showInputMessage="1" showErrorMessage="1" xr:uid="{656841B9-10BC-41FC-81C9-29A747601A0F}">
          <x14:formula1>
            <xm:f>Lists!$D$23:$D$30</xm:f>
          </x14:formula1>
          <xm:sqref>T39</xm:sqref>
        </x14:dataValidation>
        <x14:dataValidation type="list" allowBlank="1" showInputMessage="1" showErrorMessage="1" xr:uid="{CEE3336A-AAD1-4563-82CA-95A4E5BFA436}">
          <x14:formula1>
            <xm:f>Lists!$D$8:$D$13</xm:f>
          </x14:formula1>
          <xm:sqref>AF39</xm:sqref>
        </x14:dataValidation>
        <x14:dataValidation type="list" allowBlank="1" showInputMessage="1" showErrorMessage="1" xr:uid="{08E18D18-7EF5-4156-A9B7-BBE8EC29366C}">
          <x14:formula1>
            <xm:f>Lists!$D$1:$D$6</xm:f>
          </x14:formula1>
          <xm:sqref>N39:Q39</xm:sqref>
        </x14:dataValidation>
        <x14:dataValidation type="list" allowBlank="1" showInputMessage="1" showErrorMessage="1" xr:uid="{EE7F580F-CE52-403A-AD97-8D5B408AD202}">
          <x14:formula1>
            <xm:f>Lists!$L$1:$L$2</xm:f>
          </x14:formula1>
          <xm:sqref>U12 J9</xm:sqref>
        </x14:dataValidation>
        <x14:dataValidation type="list" allowBlank="1" showInputMessage="1" showErrorMessage="1" xr:uid="{84BBB62D-D863-4989-A51D-3C6185B9C0C7}">
          <x14:formula1>
            <xm:f>Lists!$A$1:$A$5</xm:f>
          </x14:formula1>
          <xm:sqref>X27:AE27</xm:sqref>
        </x14:dataValidation>
        <x14:dataValidation type="list" allowBlank="1" showInputMessage="1" showErrorMessage="1" xr:uid="{C279DF60-DD7B-4411-9192-BF52B2CD1AF7}">
          <x14:formula1>
            <xm:f>Lists!$A$9:$A$17</xm:f>
          </x14:formula1>
          <xm:sqref>D27:K27</xm:sqref>
        </x14:dataValidation>
        <x14:dataValidation type="list" showInputMessage="1" showErrorMessage="1" xr:uid="{AA1F42DE-B94D-4AC7-A0A3-314F651ECF76}">
          <x14:formula1>
            <xm:f>Lists!$L$1:$L$2</xm:f>
          </x14:formula1>
          <xm:sqref>F9</xm:sqref>
        </x14:dataValidation>
        <x14:dataValidation type="list" allowBlank="1" showInputMessage="1" showErrorMessage="1" xr:uid="{F6677669-61FE-40D5-A8A2-76C4D0CA9779}">
          <x14:formula1>
            <xm:f>Lists!$T$13:$T$18</xm:f>
          </x14:formula1>
          <xm:sqref>AI9:AJ9</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50F837-4DBA-47AD-B359-F4E39036BFC9}">
  <dimension ref="A1:G56"/>
  <sheetViews>
    <sheetView workbookViewId="0">
      <selection sqref="A1:G1"/>
    </sheetView>
  </sheetViews>
  <sheetFormatPr defaultColWidth="9.109375" defaultRowHeight="14.4"/>
  <cols>
    <col min="1" max="1" width="35.6640625" style="2" customWidth="1"/>
    <col min="2" max="2" width="10" style="265" customWidth="1"/>
    <col min="3" max="3" width="14.44140625" style="265" customWidth="1"/>
    <col min="4" max="4" width="79.88671875" style="2" customWidth="1"/>
    <col min="5" max="6" width="9.5546875" style="265" customWidth="1"/>
    <col min="7" max="7" width="10.6640625" style="265" customWidth="1"/>
  </cols>
  <sheetData>
    <row r="1" spans="1:7" ht="22.5" customHeight="1">
      <c r="A1" s="2017" t="s">
        <v>626</v>
      </c>
      <c r="B1" s="2017"/>
      <c r="C1" s="2017"/>
      <c r="D1" s="2017"/>
      <c r="E1" s="2017"/>
      <c r="F1" s="2017"/>
      <c r="G1" s="2017"/>
    </row>
    <row r="2" spans="1:7" ht="22.5" customHeight="1" thickBot="1">
      <c r="A2" s="2018" t="s">
        <v>561</v>
      </c>
      <c r="B2" s="2018"/>
      <c r="C2" s="2018"/>
      <c r="D2" s="2018"/>
      <c r="E2" s="2018"/>
      <c r="F2" s="2018"/>
      <c r="G2" s="2018"/>
    </row>
    <row r="3" spans="1:7" s="272" customFormat="1" ht="47.4" thickBot="1">
      <c r="A3" s="267" t="s">
        <v>562</v>
      </c>
      <c r="B3" s="268" t="s">
        <v>563</v>
      </c>
      <c r="C3" s="269" t="s">
        <v>236</v>
      </c>
      <c r="D3" s="270" t="s">
        <v>564</v>
      </c>
      <c r="E3" s="268" t="s">
        <v>565</v>
      </c>
      <c r="F3" s="268" t="s">
        <v>566</v>
      </c>
      <c r="G3" s="271" t="s">
        <v>567</v>
      </c>
    </row>
    <row r="4" spans="1:7" ht="15" customHeight="1">
      <c r="A4" s="2019" t="s">
        <v>568</v>
      </c>
      <c r="B4" s="2020"/>
      <c r="C4" s="2020"/>
      <c r="D4" s="2020"/>
      <c r="E4" s="2020"/>
      <c r="F4" s="2020"/>
      <c r="G4" s="2021"/>
    </row>
    <row r="5" spans="1:7" s="4" customFormat="1" ht="43.2">
      <c r="A5" s="273" t="s">
        <v>387</v>
      </c>
      <c r="B5" s="274" t="s">
        <v>569</v>
      </c>
      <c r="C5" s="274" t="s">
        <v>261</v>
      </c>
      <c r="D5" s="275" t="s">
        <v>570</v>
      </c>
      <c r="E5" s="276" t="s">
        <v>483</v>
      </c>
      <c r="F5" s="276"/>
      <c r="G5" s="277" t="s">
        <v>571</v>
      </c>
    </row>
    <row r="6" spans="1:7">
      <c r="A6" s="278" t="s">
        <v>388</v>
      </c>
      <c r="B6" s="274" t="s">
        <v>569</v>
      </c>
      <c r="C6" s="274" t="s">
        <v>261</v>
      </c>
      <c r="D6" s="275" t="s">
        <v>572</v>
      </c>
      <c r="E6" s="276" t="s">
        <v>483</v>
      </c>
      <c r="F6" s="276"/>
      <c r="G6" s="277" t="s">
        <v>571</v>
      </c>
    </row>
    <row r="7" spans="1:7" ht="28.8">
      <c r="A7" s="279" t="s">
        <v>389</v>
      </c>
      <c r="B7" s="274" t="s">
        <v>569</v>
      </c>
      <c r="C7" s="274" t="s">
        <v>261</v>
      </c>
      <c r="D7" s="275" t="s">
        <v>573</v>
      </c>
      <c r="E7" s="276" t="s">
        <v>483</v>
      </c>
      <c r="F7" s="276"/>
      <c r="G7" s="277" t="s">
        <v>571</v>
      </c>
    </row>
    <row r="8" spans="1:7" ht="28.8">
      <c r="A8" s="280" t="s">
        <v>390</v>
      </c>
      <c r="B8" s="266" t="s">
        <v>569</v>
      </c>
      <c r="C8" s="266" t="s">
        <v>261</v>
      </c>
      <c r="D8" s="275" t="s">
        <v>574</v>
      </c>
      <c r="E8" s="276" t="s">
        <v>483</v>
      </c>
      <c r="F8" s="276"/>
      <c r="G8" s="277" t="s">
        <v>571</v>
      </c>
    </row>
    <row r="9" spans="1:7" ht="28.8">
      <c r="A9" s="280" t="s">
        <v>391</v>
      </c>
      <c r="B9" s="274" t="s">
        <v>569</v>
      </c>
      <c r="C9" s="274" t="s">
        <v>261</v>
      </c>
      <c r="D9" s="275" t="s">
        <v>574</v>
      </c>
      <c r="E9" s="276" t="s">
        <v>483</v>
      </c>
      <c r="F9" s="276"/>
      <c r="G9" s="277" t="s">
        <v>571</v>
      </c>
    </row>
    <row r="10" spans="1:7">
      <c r="A10" s="280" t="s">
        <v>575</v>
      </c>
      <c r="B10" s="274" t="s">
        <v>569</v>
      </c>
      <c r="C10" s="274" t="s">
        <v>261</v>
      </c>
      <c r="D10" s="275" t="s">
        <v>576</v>
      </c>
      <c r="E10" s="276" t="s">
        <v>483</v>
      </c>
      <c r="F10" s="276"/>
      <c r="G10" s="277" t="s">
        <v>571</v>
      </c>
    </row>
    <row r="11" spans="1:7">
      <c r="A11" s="2022" t="s">
        <v>577</v>
      </c>
      <c r="B11" s="2023"/>
      <c r="C11" s="2023"/>
      <c r="D11" s="2023"/>
      <c r="E11" s="2023"/>
      <c r="F11" s="2023"/>
      <c r="G11" s="2024"/>
    </row>
    <row r="12" spans="1:7" ht="15" customHeight="1">
      <c r="A12" s="2025" t="s">
        <v>578</v>
      </c>
      <c r="B12" s="2026"/>
      <c r="C12" s="2026"/>
      <c r="D12" s="2026"/>
      <c r="E12" s="2026"/>
      <c r="F12" s="2026"/>
      <c r="G12" s="2027"/>
    </row>
    <row r="13" spans="1:7" ht="28.8">
      <c r="A13" s="279" t="s">
        <v>579</v>
      </c>
      <c r="B13" s="281">
        <v>1.3</v>
      </c>
      <c r="C13" s="274" t="s">
        <v>580</v>
      </c>
      <c r="D13" s="275" t="s">
        <v>581</v>
      </c>
      <c r="E13" s="276"/>
      <c r="F13" s="276" t="s">
        <v>571</v>
      </c>
      <c r="G13" s="277"/>
    </row>
    <row r="14" spans="1:7">
      <c r="A14" s="279" t="s">
        <v>394</v>
      </c>
      <c r="B14" s="282">
        <v>505</v>
      </c>
      <c r="C14" s="274" t="s">
        <v>261</v>
      </c>
      <c r="D14" s="275" t="s">
        <v>582</v>
      </c>
      <c r="E14" s="266"/>
      <c r="F14" s="276"/>
      <c r="G14" s="277" t="s">
        <v>571</v>
      </c>
    </row>
    <row r="15" spans="1:7" ht="28.8">
      <c r="A15" s="279" t="s">
        <v>395</v>
      </c>
      <c r="B15" s="274" t="s">
        <v>569</v>
      </c>
      <c r="C15" s="276" t="s">
        <v>583</v>
      </c>
      <c r="D15" s="275" t="s">
        <v>582</v>
      </c>
      <c r="E15" s="276" t="s">
        <v>571</v>
      </c>
      <c r="F15" s="276"/>
      <c r="G15" s="277"/>
    </row>
    <row r="16" spans="1:7" ht="28.8">
      <c r="A16" s="279" t="s">
        <v>397</v>
      </c>
      <c r="B16" s="282" t="s">
        <v>569</v>
      </c>
      <c r="C16" s="274" t="s">
        <v>584</v>
      </c>
      <c r="D16" s="275" t="s">
        <v>585</v>
      </c>
      <c r="E16" s="266"/>
      <c r="F16" s="276"/>
      <c r="G16" s="277" t="s">
        <v>571</v>
      </c>
    </row>
    <row r="17" spans="1:7" ht="28.8">
      <c r="A17" s="279" t="s">
        <v>398</v>
      </c>
      <c r="B17" s="282" t="s">
        <v>569</v>
      </c>
      <c r="C17" s="274" t="s">
        <v>584</v>
      </c>
      <c r="D17" s="275" t="s">
        <v>585</v>
      </c>
      <c r="E17" s="276" t="s">
        <v>483</v>
      </c>
      <c r="F17" s="276"/>
      <c r="G17" s="277" t="s">
        <v>571</v>
      </c>
    </row>
    <row r="18" spans="1:7" ht="28.8">
      <c r="A18" s="279" t="s">
        <v>399</v>
      </c>
      <c r="B18" s="274" t="s">
        <v>569</v>
      </c>
      <c r="C18" s="274" t="s">
        <v>586</v>
      </c>
      <c r="D18" s="275" t="s">
        <v>585</v>
      </c>
      <c r="E18" s="276" t="s">
        <v>571</v>
      </c>
      <c r="F18" s="276"/>
      <c r="G18" s="277"/>
    </row>
    <row r="19" spans="1:7" ht="43.2">
      <c r="A19" s="279" t="s">
        <v>400</v>
      </c>
      <c r="B19" s="274" t="s">
        <v>569</v>
      </c>
      <c r="C19" s="274" t="s">
        <v>586</v>
      </c>
      <c r="D19" s="275" t="s">
        <v>585</v>
      </c>
      <c r="E19" s="276" t="s">
        <v>571</v>
      </c>
      <c r="F19" s="276"/>
      <c r="G19" s="277"/>
    </row>
    <row r="20" spans="1:7" ht="43.2">
      <c r="A20" s="279" t="s">
        <v>401</v>
      </c>
      <c r="B20" s="274" t="s">
        <v>569</v>
      </c>
      <c r="C20" s="274" t="s">
        <v>261</v>
      </c>
      <c r="D20" s="275" t="s">
        <v>587</v>
      </c>
      <c r="E20" s="276" t="s">
        <v>571</v>
      </c>
      <c r="F20" s="276"/>
      <c r="G20" s="277"/>
    </row>
    <row r="21" spans="1:7" ht="28.8">
      <c r="A21" s="279" t="s">
        <v>402</v>
      </c>
      <c r="B21" s="274" t="s">
        <v>569</v>
      </c>
      <c r="C21" s="274" t="s">
        <v>261</v>
      </c>
      <c r="D21" s="275" t="s">
        <v>585</v>
      </c>
      <c r="E21" s="276" t="s">
        <v>571</v>
      </c>
      <c r="F21" s="276"/>
      <c r="G21" s="277"/>
    </row>
    <row r="22" spans="1:7" ht="28.8">
      <c r="A22" s="279" t="s">
        <v>588</v>
      </c>
      <c r="B22" s="274" t="s">
        <v>569</v>
      </c>
      <c r="C22" s="276" t="s">
        <v>589</v>
      </c>
      <c r="D22" s="275" t="s">
        <v>590</v>
      </c>
      <c r="E22" s="276"/>
      <c r="F22" s="276"/>
      <c r="G22" s="277" t="s">
        <v>571</v>
      </c>
    </row>
    <row r="23" spans="1:7" ht="43.2">
      <c r="A23" s="279" t="s">
        <v>591</v>
      </c>
      <c r="B23" s="274" t="s">
        <v>569</v>
      </c>
      <c r="C23" s="276" t="s">
        <v>589</v>
      </c>
      <c r="D23" s="275" t="s">
        <v>592</v>
      </c>
      <c r="E23" s="276" t="s">
        <v>483</v>
      </c>
      <c r="F23" s="276"/>
      <c r="G23" s="277" t="s">
        <v>571</v>
      </c>
    </row>
    <row r="24" spans="1:7">
      <c r="A24" s="2025" t="s">
        <v>1098</v>
      </c>
      <c r="B24" s="2026"/>
      <c r="C24" s="2026"/>
      <c r="D24" s="2026"/>
      <c r="E24" s="2026"/>
      <c r="F24" s="2026"/>
      <c r="G24" s="2027"/>
    </row>
    <row r="25" spans="1:7" ht="72">
      <c r="A25" s="279" t="s">
        <v>1089</v>
      </c>
      <c r="B25" s="282">
        <v>325</v>
      </c>
      <c r="C25" s="274" t="s">
        <v>261</v>
      </c>
      <c r="D25" s="275" t="s">
        <v>1099</v>
      </c>
      <c r="E25" s="276" t="s">
        <v>571</v>
      </c>
      <c r="F25" s="276"/>
      <c r="G25" s="277"/>
    </row>
    <row r="26" spans="1:7" ht="28.8">
      <c r="A26" s="279" t="s">
        <v>1090</v>
      </c>
      <c r="B26" s="282" t="s">
        <v>569</v>
      </c>
      <c r="C26" s="274" t="s">
        <v>261</v>
      </c>
      <c r="D26" s="275" t="s">
        <v>1101</v>
      </c>
      <c r="E26" s="276" t="s">
        <v>571</v>
      </c>
      <c r="F26" s="276"/>
      <c r="G26" s="277"/>
    </row>
    <row r="27" spans="1:7" ht="43.2">
      <c r="A27" s="279" t="s">
        <v>1091</v>
      </c>
      <c r="B27" s="282">
        <v>250</v>
      </c>
      <c r="C27" s="274" t="s">
        <v>261</v>
      </c>
      <c r="D27" s="275" t="s">
        <v>1100</v>
      </c>
      <c r="E27" s="276" t="s">
        <v>571</v>
      </c>
      <c r="F27" s="276"/>
      <c r="G27" s="277"/>
    </row>
    <row r="28" spans="1:7" ht="28.8">
      <c r="A28" s="279" t="s">
        <v>1092</v>
      </c>
      <c r="B28" s="282" t="s">
        <v>569</v>
      </c>
      <c r="C28" s="274" t="s">
        <v>261</v>
      </c>
      <c r="D28" s="275" t="s">
        <v>1102</v>
      </c>
      <c r="E28" s="276" t="s">
        <v>571</v>
      </c>
      <c r="F28" s="276"/>
      <c r="G28" s="277"/>
    </row>
    <row r="29" spans="1:7" ht="28.8">
      <c r="A29" s="279" t="s">
        <v>396</v>
      </c>
      <c r="B29" s="274" t="s">
        <v>569</v>
      </c>
      <c r="C29" s="274" t="s">
        <v>261</v>
      </c>
      <c r="D29" s="275" t="s">
        <v>1103</v>
      </c>
      <c r="E29" s="276" t="s">
        <v>571</v>
      </c>
      <c r="F29" s="276"/>
      <c r="G29" s="277"/>
    </row>
    <row r="30" spans="1:7">
      <c r="A30" s="2014" t="s">
        <v>1088</v>
      </c>
      <c r="B30" s="2015"/>
      <c r="C30" s="2015"/>
      <c r="D30" s="2015"/>
      <c r="E30" s="2015"/>
      <c r="F30" s="2015"/>
      <c r="G30" s="2016"/>
    </row>
    <row r="31" spans="1:7" ht="28.8">
      <c r="A31" s="273" t="s">
        <v>593</v>
      </c>
      <c r="B31" s="274" t="s">
        <v>569</v>
      </c>
      <c r="C31" s="283" t="s">
        <v>594</v>
      </c>
      <c r="D31" s="284" t="s">
        <v>595</v>
      </c>
      <c r="E31" s="283" t="s">
        <v>571</v>
      </c>
      <c r="F31" s="283"/>
      <c r="G31" s="285"/>
    </row>
    <row r="32" spans="1:7" ht="28.8">
      <c r="A32" s="273" t="s">
        <v>596</v>
      </c>
      <c r="B32" s="274" t="s">
        <v>569</v>
      </c>
      <c r="C32" s="286" t="s">
        <v>597</v>
      </c>
      <c r="D32" s="287" t="s">
        <v>595</v>
      </c>
      <c r="E32" s="288" t="s">
        <v>571</v>
      </c>
      <c r="F32" s="288"/>
      <c r="G32" s="289"/>
    </row>
    <row r="33" spans="1:7">
      <c r="A33" s="2011" t="s">
        <v>598</v>
      </c>
      <c r="B33" s="2012"/>
      <c r="C33" s="2012"/>
      <c r="D33" s="2012"/>
      <c r="E33" s="2012"/>
      <c r="F33" s="2012"/>
      <c r="G33" s="2013"/>
    </row>
    <row r="34" spans="1:7" ht="28.8">
      <c r="A34" s="273" t="s">
        <v>403</v>
      </c>
      <c r="B34" s="274" t="s">
        <v>569</v>
      </c>
      <c r="C34" s="274" t="s">
        <v>599</v>
      </c>
      <c r="D34" s="287" t="s">
        <v>600</v>
      </c>
      <c r="E34" s="288" t="s">
        <v>483</v>
      </c>
      <c r="F34" s="288" t="s">
        <v>483</v>
      </c>
      <c r="G34" s="289" t="s">
        <v>571</v>
      </c>
    </row>
    <row r="35" spans="1:7" ht="43.2">
      <c r="A35" s="279" t="s">
        <v>404</v>
      </c>
      <c r="B35" s="274" t="s">
        <v>569</v>
      </c>
      <c r="C35" s="276" t="s">
        <v>601</v>
      </c>
      <c r="D35" s="287" t="s">
        <v>602</v>
      </c>
      <c r="E35" s="288" t="s">
        <v>571</v>
      </c>
      <c r="F35" s="288"/>
      <c r="G35" s="289"/>
    </row>
    <row r="36" spans="1:7">
      <c r="A36" s="2011" t="s">
        <v>603</v>
      </c>
      <c r="B36" s="2012"/>
      <c r="C36" s="2012"/>
      <c r="D36" s="2012"/>
      <c r="E36" s="2012"/>
      <c r="F36" s="2012"/>
      <c r="G36" s="2013"/>
    </row>
    <row r="37" spans="1:7" ht="28.8">
      <c r="A37" s="279" t="s">
        <v>604</v>
      </c>
      <c r="B37" s="274" t="s">
        <v>569</v>
      </c>
      <c r="C37" s="286" t="s">
        <v>261</v>
      </c>
      <c r="D37" s="287" t="s">
        <v>605</v>
      </c>
      <c r="E37" s="288"/>
      <c r="F37" s="288"/>
      <c r="G37" s="289" t="s">
        <v>571</v>
      </c>
    </row>
    <row r="38" spans="1:7" ht="28.8">
      <c r="A38" s="279" t="s">
        <v>606</v>
      </c>
      <c r="B38" s="282">
        <v>460</v>
      </c>
      <c r="C38" s="286" t="s">
        <v>261</v>
      </c>
      <c r="D38" s="287" t="s">
        <v>605</v>
      </c>
      <c r="E38" s="288"/>
      <c r="F38" s="288"/>
      <c r="G38" s="289" t="s">
        <v>571</v>
      </c>
    </row>
    <row r="39" spans="1:7" ht="28.8">
      <c r="A39" s="279" t="s">
        <v>607</v>
      </c>
      <c r="B39" s="282">
        <v>865</v>
      </c>
      <c r="C39" s="286" t="s">
        <v>261</v>
      </c>
      <c r="D39" s="287" t="s">
        <v>605</v>
      </c>
      <c r="E39" s="288"/>
      <c r="F39" s="288"/>
      <c r="G39" s="289" t="s">
        <v>571</v>
      </c>
    </row>
    <row r="40" spans="1:7" ht="28.8">
      <c r="A40" s="279" t="s">
        <v>608</v>
      </c>
      <c r="B40" s="266" t="s">
        <v>569</v>
      </c>
      <c r="C40" s="290" t="s">
        <v>609</v>
      </c>
      <c r="D40" s="287" t="s">
        <v>605</v>
      </c>
      <c r="E40" s="288"/>
      <c r="F40" s="288"/>
      <c r="G40" s="289" t="s">
        <v>571</v>
      </c>
    </row>
    <row r="41" spans="1:7" ht="43.2">
      <c r="A41" s="279" t="s">
        <v>588</v>
      </c>
      <c r="B41" s="282" t="s">
        <v>569</v>
      </c>
      <c r="C41" s="283" t="s">
        <v>610</v>
      </c>
      <c r="D41" s="287" t="s">
        <v>611</v>
      </c>
      <c r="E41" s="288"/>
      <c r="F41" s="288"/>
      <c r="G41" s="289" t="s">
        <v>571</v>
      </c>
    </row>
    <row r="42" spans="1:7" ht="57.6">
      <c r="A42" s="279" t="s">
        <v>81</v>
      </c>
      <c r="B42" s="282">
        <v>3000</v>
      </c>
      <c r="C42" s="283" t="s">
        <v>261</v>
      </c>
      <c r="D42" s="287" t="s">
        <v>612</v>
      </c>
      <c r="E42" s="288"/>
      <c r="F42" s="288"/>
      <c r="G42" s="289" t="s">
        <v>571</v>
      </c>
    </row>
    <row r="43" spans="1:7" ht="15" customHeight="1">
      <c r="A43" s="2014" t="s">
        <v>613</v>
      </c>
      <c r="B43" s="2015"/>
      <c r="C43" s="2015"/>
      <c r="D43" s="2015"/>
      <c r="E43" s="2015"/>
      <c r="F43" s="2015"/>
      <c r="G43" s="2016"/>
    </row>
    <row r="44" spans="1:7" s="2" customFormat="1" ht="28.8">
      <c r="A44" s="279" t="s">
        <v>405</v>
      </c>
      <c r="B44" s="291">
        <v>112</v>
      </c>
      <c r="C44" s="290" t="s">
        <v>261</v>
      </c>
      <c r="D44" s="287" t="s">
        <v>614</v>
      </c>
      <c r="E44" s="288"/>
      <c r="F44" s="292"/>
      <c r="G44" s="289" t="s">
        <v>571</v>
      </c>
    </row>
    <row r="45" spans="1:7" ht="28.8">
      <c r="A45" s="279" t="s">
        <v>406</v>
      </c>
      <c r="B45" s="291">
        <v>173</v>
      </c>
      <c r="C45" s="288" t="s">
        <v>615</v>
      </c>
      <c r="D45" s="287" t="s">
        <v>605</v>
      </c>
      <c r="E45" s="288"/>
      <c r="F45" s="293"/>
      <c r="G45" s="289" t="s">
        <v>571</v>
      </c>
    </row>
    <row r="46" spans="1:7" ht="28.8">
      <c r="A46" s="279" t="s">
        <v>407</v>
      </c>
      <c r="B46" s="291">
        <v>173</v>
      </c>
      <c r="C46" s="290" t="s">
        <v>261</v>
      </c>
      <c r="D46" s="287" t="s">
        <v>605</v>
      </c>
      <c r="E46" s="288"/>
      <c r="F46" s="293"/>
      <c r="G46" s="289" t="s">
        <v>571</v>
      </c>
    </row>
    <row r="47" spans="1:7" ht="28.8">
      <c r="A47" s="279" t="s">
        <v>616</v>
      </c>
      <c r="B47" s="291">
        <v>290</v>
      </c>
      <c r="C47" s="290" t="s">
        <v>261</v>
      </c>
      <c r="D47" s="287" t="s">
        <v>617</v>
      </c>
      <c r="E47" s="288" t="s">
        <v>571</v>
      </c>
      <c r="F47" s="288"/>
      <c r="G47" s="289"/>
    </row>
    <row r="48" spans="1:7" ht="28.8">
      <c r="A48" s="273" t="s">
        <v>409</v>
      </c>
      <c r="B48" s="274" t="s">
        <v>569</v>
      </c>
      <c r="C48" s="286" t="s">
        <v>261</v>
      </c>
      <c r="D48" s="284" t="s">
        <v>618</v>
      </c>
      <c r="E48" s="283" t="s">
        <v>571</v>
      </c>
      <c r="F48" s="283"/>
      <c r="G48" s="285"/>
    </row>
    <row r="49" spans="1:7" ht="28.8">
      <c r="A49" s="279" t="s">
        <v>410</v>
      </c>
      <c r="B49" s="274" t="s">
        <v>569</v>
      </c>
      <c r="C49" s="286" t="s">
        <v>261</v>
      </c>
      <c r="D49" s="284" t="s">
        <v>618</v>
      </c>
      <c r="E49" s="283" t="s">
        <v>571</v>
      </c>
      <c r="F49" s="283"/>
      <c r="G49" s="285"/>
    </row>
    <row r="50" spans="1:7" ht="28.8">
      <c r="A50" s="279" t="s">
        <v>411</v>
      </c>
      <c r="B50" s="274" t="s">
        <v>569</v>
      </c>
      <c r="C50" s="286" t="s">
        <v>584</v>
      </c>
      <c r="D50" s="284" t="s">
        <v>618</v>
      </c>
      <c r="E50" s="283" t="s">
        <v>571</v>
      </c>
      <c r="F50" s="283"/>
      <c r="G50" s="285"/>
    </row>
    <row r="51" spans="1:7" ht="28.8">
      <c r="A51" s="279" t="s">
        <v>412</v>
      </c>
      <c r="B51" s="282" t="s">
        <v>569</v>
      </c>
      <c r="C51" s="286" t="s">
        <v>261</v>
      </c>
      <c r="D51" s="284" t="s">
        <v>619</v>
      </c>
      <c r="E51" s="283"/>
      <c r="F51" s="266"/>
      <c r="G51" s="285" t="s">
        <v>571</v>
      </c>
    </row>
    <row r="52" spans="1:7">
      <c r="A52" s="279" t="s">
        <v>620</v>
      </c>
      <c r="B52" s="282">
        <v>70</v>
      </c>
      <c r="C52" s="286" t="s">
        <v>261</v>
      </c>
      <c r="D52" s="284" t="s">
        <v>621</v>
      </c>
      <c r="E52" s="283"/>
      <c r="F52" s="266"/>
      <c r="G52" s="285" t="s">
        <v>571</v>
      </c>
    </row>
    <row r="53" spans="1:7">
      <c r="A53" s="2014" t="s">
        <v>622</v>
      </c>
      <c r="B53" s="2015"/>
      <c r="C53" s="2015"/>
      <c r="D53" s="2015"/>
      <c r="E53" s="2015"/>
      <c r="F53" s="2015"/>
      <c r="G53" s="2016"/>
    </row>
    <row r="54" spans="1:7" ht="43.8" thickBot="1">
      <c r="A54" s="294" t="s">
        <v>414</v>
      </c>
      <c r="B54" s="295">
        <v>190</v>
      </c>
      <c r="C54" s="296" t="s">
        <v>261</v>
      </c>
      <c r="D54" s="300" t="s">
        <v>625</v>
      </c>
      <c r="E54" s="296"/>
      <c r="F54" s="296" t="s">
        <v>571</v>
      </c>
      <c r="G54" s="297"/>
    </row>
    <row r="56" spans="1:7">
      <c r="A56" s="298" t="s">
        <v>623</v>
      </c>
      <c r="D56" s="299"/>
      <c r="G56" s="299" t="s">
        <v>624</v>
      </c>
    </row>
  </sheetData>
  <sheetProtection algorithmName="SHA-512" hashValue="Vxy+nSicoy3qqYhtdRJ7QC6PImk3CtSS/1n9Czn6sdIsvHG9PWnkDw2m8CI1n2yE5o/Fee0SuYLRWIRgI9qU2w==" saltValue="0O3gbynfkFnUYJz9DbaL7Q==" spinCount="100000" sheet="1" selectLockedCells="1"/>
  <mergeCells count="11">
    <mergeCell ref="A33:G33"/>
    <mergeCell ref="A36:G36"/>
    <mergeCell ref="A43:G43"/>
    <mergeCell ref="A53:G53"/>
    <mergeCell ref="A1:G1"/>
    <mergeCell ref="A2:G2"/>
    <mergeCell ref="A4:G4"/>
    <mergeCell ref="A11:G11"/>
    <mergeCell ref="A12:G12"/>
    <mergeCell ref="A30:G30"/>
    <mergeCell ref="A24:G24"/>
  </mergeCells>
  <pageMargins left="0.45" right="0.45" top="0.5" bottom="0.5" header="0.3" footer="0.3"/>
  <pageSetup scale="75" fitToHeight="0" orientation="landscape" horizontalDpi="1200" verticalDpi="12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0D6C17-3593-4F85-8EA9-A5801BA2FF8D}">
  <dimension ref="A1:B9"/>
  <sheetViews>
    <sheetView workbookViewId="0">
      <selection activeCell="A6" sqref="A6:B9"/>
    </sheetView>
  </sheetViews>
  <sheetFormatPr defaultRowHeight="14.4"/>
  <cols>
    <col min="1" max="1" width="10.5546875" bestFit="1" customWidth="1"/>
  </cols>
  <sheetData>
    <row r="1" spans="1:2">
      <c r="A1" t="s">
        <v>959</v>
      </c>
    </row>
    <row r="2" spans="1:2">
      <c r="A2" s="24">
        <v>45273</v>
      </c>
      <c r="B2" t="s">
        <v>960</v>
      </c>
    </row>
    <row r="3" spans="1:2">
      <c r="A3" s="24">
        <v>45348</v>
      </c>
      <c r="B3" t="s">
        <v>1085</v>
      </c>
    </row>
    <row r="4" spans="1:2">
      <c r="B4" t="s">
        <v>1086</v>
      </c>
    </row>
    <row r="5" spans="1:2">
      <c r="B5" t="s">
        <v>1087</v>
      </c>
    </row>
    <row r="6" spans="1:2">
      <c r="A6" t="s">
        <v>1495</v>
      </c>
      <c r="B6" t="s">
        <v>1496</v>
      </c>
    </row>
    <row r="7" spans="1:2">
      <c r="B7" t="s">
        <v>1497</v>
      </c>
    </row>
    <row r="8" spans="1:2">
      <c r="A8" s="24">
        <v>45413</v>
      </c>
      <c r="B8" t="s">
        <v>1498</v>
      </c>
    </row>
    <row r="9" spans="1:2">
      <c r="A9" t="s">
        <v>1504</v>
      </c>
      <c r="B9" t="s">
        <v>1503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19CC2-9BA5-412E-A17C-3322EE2FF8FA}">
  <sheetPr>
    <pageSetUpPr fitToPage="1"/>
  </sheetPr>
  <dimension ref="B1:AT105"/>
  <sheetViews>
    <sheetView zoomScale="160" zoomScaleNormal="160" workbookViewId="0">
      <selection activeCell="B10" sqref="B10:C11"/>
    </sheetView>
  </sheetViews>
  <sheetFormatPr defaultRowHeight="14.4"/>
  <cols>
    <col min="1" max="1" width="0.88671875" customWidth="1"/>
    <col min="2" max="41" width="2.6640625" customWidth="1"/>
    <col min="42" max="42" width="0.88671875" customWidth="1"/>
  </cols>
  <sheetData>
    <row r="1" spans="2:43" ht="23.4" customHeight="1">
      <c r="B1" s="656" t="s">
        <v>630</v>
      </c>
      <c r="C1" s="656"/>
      <c r="D1" s="656"/>
      <c r="E1" s="656"/>
      <c r="F1" s="656"/>
      <c r="G1" s="656"/>
      <c r="H1" s="656"/>
      <c r="I1" s="656"/>
      <c r="J1" s="656"/>
      <c r="K1" s="656"/>
      <c r="L1" s="656"/>
      <c r="M1" s="656"/>
      <c r="N1" s="656"/>
      <c r="O1" s="656"/>
      <c r="P1" s="656"/>
      <c r="Q1" s="656"/>
      <c r="R1" s="656"/>
      <c r="S1" s="656"/>
      <c r="T1" s="656"/>
      <c r="U1" s="656"/>
      <c r="V1" s="656"/>
      <c r="W1" s="656"/>
      <c r="X1" s="656"/>
      <c r="Y1" s="656"/>
      <c r="Z1" s="656"/>
      <c r="AA1" s="656"/>
      <c r="AB1" s="656"/>
      <c r="AC1" s="656"/>
      <c r="AD1" s="656"/>
      <c r="AE1" s="656"/>
      <c r="AF1" s="656"/>
      <c r="AG1" s="656"/>
      <c r="AH1" s="656"/>
      <c r="AI1" s="656"/>
      <c r="AJ1" s="656"/>
      <c r="AK1" s="656"/>
      <c r="AL1" s="656"/>
      <c r="AM1" s="656"/>
      <c r="AN1" s="656"/>
      <c r="AO1" s="656"/>
    </row>
    <row r="2" spans="2:43" ht="21">
      <c r="B2" s="670" t="s">
        <v>54</v>
      </c>
      <c r="C2" s="670"/>
      <c r="D2" s="670"/>
      <c r="E2" s="670"/>
      <c r="F2" s="670"/>
      <c r="G2" s="670"/>
      <c r="H2" s="670"/>
      <c r="I2" s="670"/>
      <c r="J2" s="670"/>
      <c r="K2" s="670"/>
      <c r="L2" s="670"/>
      <c r="M2" s="670"/>
      <c r="N2" s="670"/>
      <c r="O2" s="670"/>
      <c r="P2" s="670"/>
      <c r="Q2" s="670"/>
      <c r="R2" s="670"/>
      <c r="S2" s="670"/>
      <c r="T2" s="670"/>
      <c r="U2" s="670"/>
      <c r="V2" s="670"/>
      <c r="W2" s="670"/>
      <c r="X2" s="670"/>
      <c r="Y2" s="670"/>
      <c r="Z2" s="670"/>
      <c r="AA2" s="670"/>
      <c r="AB2" s="670"/>
      <c r="AC2" s="670"/>
      <c r="AD2" s="670"/>
      <c r="AE2" s="670"/>
      <c r="AF2" s="670"/>
      <c r="AG2" s="670"/>
      <c r="AH2" s="670"/>
      <c r="AI2" s="670"/>
      <c r="AJ2" s="670"/>
      <c r="AK2" s="670"/>
      <c r="AL2" s="670"/>
      <c r="AM2" s="670"/>
      <c r="AN2" s="670"/>
      <c r="AO2" s="670"/>
    </row>
    <row r="3" spans="2:43" ht="35.4" customHeight="1">
      <c r="B3" s="787" t="s">
        <v>421</v>
      </c>
      <c r="C3" s="787"/>
      <c r="D3" s="787"/>
      <c r="E3" s="787"/>
      <c r="F3" s="787"/>
      <c r="G3" s="787"/>
      <c r="H3" s="787"/>
      <c r="I3" s="787"/>
      <c r="J3" s="787"/>
      <c r="K3" s="787"/>
      <c r="L3" s="787"/>
      <c r="M3" s="787"/>
      <c r="N3" s="787"/>
      <c r="O3" s="787"/>
      <c r="P3" s="787"/>
      <c r="Q3" s="787"/>
      <c r="R3" s="787"/>
      <c r="S3" s="787"/>
      <c r="T3" s="787"/>
      <c r="U3" s="787"/>
      <c r="V3" s="787"/>
      <c r="W3" s="787"/>
      <c r="X3" s="787"/>
      <c r="Y3" s="787"/>
      <c r="Z3" s="787"/>
      <c r="AA3" s="787"/>
      <c r="AB3" s="787"/>
      <c r="AC3" s="787"/>
      <c r="AD3" s="787"/>
      <c r="AE3" s="787"/>
      <c r="AF3" s="787"/>
      <c r="AG3" s="787"/>
      <c r="AH3" s="787"/>
      <c r="AI3" s="787"/>
      <c r="AJ3" s="787"/>
      <c r="AK3" s="787"/>
      <c r="AL3" s="787"/>
      <c r="AM3" s="787"/>
      <c r="AN3" s="787"/>
      <c r="AO3" s="787"/>
    </row>
    <row r="4" spans="2:43">
      <c r="B4" s="788" t="s">
        <v>173</v>
      </c>
      <c r="C4" s="788"/>
      <c r="D4" s="788"/>
      <c r="E4" s="788"/>
      <c r="F4" s="788"/>
      <c r="G4" s="788"/>
      <c r="H4" s="788"/>
      <c r="I4" s="788"/>
      <c r="J4" s="788"/>
      <c r="K4" s="788"/>
      <c r="L4" s="788"/>
      <c r="M4" s="788"/>
      <c r="N4" s="788"/>
      <c r="O4" s="788"/>
      <c r="P4" s="788"/>
      <c r="Q4" s="788"/>
      <c r="R4" s="788"/>
      <c r="S4" s="788"/>
      <c r="T4" s="788"/>
      <c r="U4" s="788"/>
      <c r="V4" s="788"/>
      <c r="W4" s="788"/>
      <c r="X4" s="788"/>
      <c r="Y4" s="788"/>
      <c r="Z4" s="788"/>
      <c r="AA4" s="788"/>
      <c r="AB4" s="788"/>
      <c r="AC4" s="788"/>
      <c r="AD4" s="788"/>
      <c r="AE4" s="789" t="s">
        <v>55</v>
      </c>
      <c r="AF4" s="789"/>
      <c r="AG4" s="789"/>
      <c r="AH4" s="789"/>
      <c r="AI4" s="789"/>
      <c r="AJ4" s="789"/>
      <c r="AK4" s="789"/>
      <c r="AL4" s="789"/>
      <c r="AM4" s="789"/>
      <c r="AN4" s="789"/>
      <c r="AO4" s="789"/>
    </row>
    <row r="5" spans="2:43" s="303" customFormat="1" ht="18" customHeight="1">
      <c r="B5" s="940" t="s">
        <v>632</v>
      </c>
      <c r="C5" s="940"/>
      <c r="D5" s="940"/>
      <c r="E5" s="940"/>
      <c r="F5" s="940"/>
      <c r="G5" s="940"/>
      <c r="H5" s="940"/>
      <c r="I5" s="940"/>
      <c r="J5" s="940"/>
      <c r="K5" s="940"/>
      <c r="L5" s="940"/>
      <c r="M5" s="940"/>
      <c r="N5" s="940"/>
      <c r="O5" s="940"/>
      <c r="P5" s="941" t="str">
        <f>IF(ISBLANK('Project Information'!E6),"",'Project Information'!E6)</f>
        <v/>
      </c>
      <c r="Q5" s="941"/>
      <c r="R5" s="941"/>
      <c r="S5" s="941"/>
      <c r="T5" s="941"/>
      <c r="U5" s="941"/>
      <c r="V5" s="941"/>
      <c r="W5" s="941"/>
      <c r="X5" s="941"/>
      <c r="Y5" s="941" t="str">
        <f>IF(ISBLANK('Project Information'!X6),"",'Project Information'!X6)</f>
        <v/>
      </c>
      <c r="Z5" s="941"/>
      <c r="AA5" s="941"/>
      <c r="AB5" s="941"/>
      <c r="AC5" s="941"/>
      <c r="AD5" s="941"/>
      <c r="AE5" s="203" t="s">
        <v>1</v>
      </c>
      <c r="AF5" s="941" t="str">
        <f>IF(ISBLANK('Project Information'!AK6),"",'Project Information'!AK6)</f>
        <v/>
      </c>
      <c r="AG5" s="941"/>
      <c r="AH5" s="941"/>
      <c r="AI5" s="942" t="str">
        <f>IF(ISBLANK('Project Information'!M12),"",'Project Information'!M12)</f>
        <v/>
      </c>
      <c r="AJ5" s="942"/>
      <c r="AK5" s="942"/>
      <c r="AL5" s="942"/>
      <c r="AM5" s="942"/>
      <c r="AN5" s="942"/>
      <c r="AO5" s="942"/>
    </row>
    <row r="6" spans="2:43" s="303" customFormat="1" ht="18" customHeight="1">
      <c r="B6" s="940" t="s">
        <v>633</v>
      </c>
      <c r="C6" s="940"/>
      <c r="D6" s="940"/>
      <c r="E6" s="940"/>
      <c r="F6" s="940"/>
      <c r="G6" s="940"/>
      <c r="H6" s="940"/>
      <c r="I6" s="940"/>
      <c r="J6" s="940"/>
      <c r="K6" s="940"/>
      <c r="L6" s="940"/>
      <c r="M6" s="976" t="str">
        <f>IF('Project Information'!G17="","",'Project Information'!G17)</f>
        <v/>
      </c>
      <c r="N6" s="976"/>
      <c r="O6" s="976"/>
      <c r="P6" s="976"/>
      <c r="Q6" s="976"/>
      <c r="R6" s="976"/>
      <c r="S6" s="976"/>
      <c r="T6" s="976"/>
      <c r="U6" s="976"/>
      <c r="V6" s="976"/>
      <c r="W6" s="976"/>
      <c r="X6" s="976"/>
      <c r="Y6" s="976"/>
      <c r="Z6" s="941" t="str">
        <f>IF('Project Information'!G20="","","and")</f>
        <v/>
      </c>
      <c r="AA6" s="941"/>
      <c r="AB6" s="977" t="str">
        <f>IF('Project Information'!G20="","",'Project Information'!G20)</f>
        <v/>
      </c>
      <c r="AC6" s="977"/>
      <c r="AD6" s="977"/>
      <c r="AE6" s="977"/>
      <c r="AF6" s="977"/>
      <c r="AG6" s="977"/>
      <c r="AH6" s="977"/>
      <c r="AI6" s="977"/>
      <c r="AJ6" s="977"/>
      <c r="AK6" s="977"/>
      <c r="AL6" s="977"/>
      <c r="AM6" s="977"/>
      <c r="AN6" s="977"/>
      <c r="AO6" s="301"/>
    </row>
    <row r="7" spans="2:43" ht="3.75" customHeight="1" thickBot="1">
      <c r="B7" s="796"/>
      <c r="C7" s="796"/>
      <c r="D7" s="796"/>
      <c r="E7" s="796"/>
      <c r="F7" s="796"/>
      <c r="G7" s="796"/>
      <c r="H7" s="796"/>
      <c r="I7" s="796"/>
      <c r="J7" s="796"/>
      <c r="K7" s="796"/>
      <c r="L7" s="796"/>
      <c r="M7" s="796"/>
      <c r="N7" s="796"/>
      <c r="O7" s="796"/>
      <c r="P7" s="796"/>
      <c r="Q7" s="796"/>
      <c r="R7" s="796"/>
      <c r="S7" s="796"/>
      <c r="T7" s="796"/>
      <c r="U7" s="796"/>
      <c r="V7" s="796"/>
      <c r="W7" s="796"/>
      <c r="X7" s="796"/>
      <c r="Y7" s="796"/>
      <c r="Z7" s="796"/>
      <c r="AA7" s="796"/>
      <c r="AB7" s="796"/>
      <c r="AC7" s="796"/>
      <c r="AD7" s="796"/>
      <c r="AE7" s="796"/>
      <c r="AF7" s="796"/>
      <c r="AG7" s="796"/>
      <c r="AH7" s="796"/>
      <c r="AI7" s="796"/>
      <c r="AJ7" s="796"/>
      <c r="AK7" s="796"/>
      <c r="AL7" s="796"/>
      <c r="AM7" s="796"/>
      <c r="AN7" s="796"/>
      <c r="AO7" s="796"/>
    </row>
    <row r="8" spans="2:43" ht="21.75" customHeight="1">
      <c r="B8" s="639" t="s">
        <v>196</v>
      </c>
      <c r="C8" s="640"/>
      <c r="D8" s="640"/>
      <c r="E8" s="640"/>
      <c r="F8" s="640"/>
      <c r="G8" s="640"/>
      <c r="H8" s="640"/>
      <c r="I8" s="640"/>
      <c r="J8" s="640"/>
      <c r="K8" s="640"/>
      <c r="L8" s="640"/>
      <c r="M8" s="640"/>
      <c r="N8" s="640"/>
      <c r="O8" s="640"/>
      <c r="P8" s="640"/>
      <c r="Q8" s="640"/>
      <c r="R8" s="640"/>
      <c r="S8" s="640"/>
      <c r="T8" s="640"/>
      <c r="U8" s="640"/>
      <c r="V8" s="640"/>
      <c r="W8" s="640"/>
      <c r="X8" s="640"/>
      <c r="Y8" s="640"/>
      <c r="Z8" s="640"/>
      <c r="AA8" s="640"/>
      <c r="AB8" s="640"/>
      <c r="AC8" s="640"/>
      <c r="AD8" s="640"/>
      <c r="AE8" s="640"/>
      <c r="AF8" s="640"/>
      <c r="AG8" s="640"/>
      <c r="AH8" s="640"/>
      <c r="AI8" s="640"/>
      <c r="AJ8" s="640"/>
      <c r="AK8" s="640"/>
      <c r="AL8" s="640"/>
      <c r="AM8" s="640"/>
      <c r="AN8" s="640"/>
      <c r="AO8" s="641"/>
    </row>
    <row r="9" spans="2:43" s="5" customFormat="1" ht="27.6" customHeight="1">
      <c r="B9" s="797" t="s">
        <v>108</v>
      </c>
      <c r="C9" s="798"/>
      <c r="D9" s="799" t="s">
        <v>109</v>
      </c>
      <c r="E9" s="799"/>
      <c r="F9" s="799"/>
      <c r="G9" s="799"/>
      <c r="H9" s="799"/>
      <c r="I9" s="799"/>
      <c r="J9" s="799"/>
      <c r="K9" s="799"/>
      <c r="L9" s="799"/>
      <c r="M9" s="799"/>
      <c r="N9" s="798" t="s">
        <v>110</v>
      </c>
      <c r="O9" s="798"/>
      <c r="P9" s="798"/>
      <c r="Q9" s="798"/>
      <c r="R9" s="798"/>
      <c r="S9" s="798"/>
      <c r="T9" s="799" t="s">
        <v>111</v>
      </c>
      <c r="U9" s="799"/>
      <c r="V9" s="799"/>
      <c r="W9" s="799"/>
      <c r="X9" s="799" t="s">
        <v>112</v>
      </c>
      <c r="Y9" s="799"/>
      <c r="Z9" s="799"/>
      <c r="AA9" s="799"/>
      <c r="AB9" s="799"/>
      <c r="AC9" s="799"/>
      <c r="AD9" s="799" t="s">
        <v>477</v>
      </c>
      <c r="AE9" s="799"/>
      <c r="AF9" s="799"/>
      <c r="AG9" s="799"/>
      <c r="AH9" s="799"/>
      <c r="AI9" s="799"/>
      <c r="AJ9" s="798" t="s">
        <v>479</v>
      </c>
      <c r="AK9" s="798"/>
      <c r="AL9" s="798"/>
      <c r="AM9" s="798"/>
      <c r="AN9" s="798"/>
      <c r="AO9" s="800"/>
      <c r="AQ9" s="251"/>
    </row>
    <row r="10" spans="2:43" s="5" customFormat="1" ht="25.95" customHeight="1">
      <c r="B10" s="812"/>
      <c r="C10" s="813"/>
      <c r="D10" s="745" t="s">
        <v>37</v>
      </c>
      <c r="E10" s="745"/>
      <c r="F10" s="745"/>
      <c r="G10" s="745"/>
      <c r="H10" s="745"/>
      <c r="I10" s="745"/>
      <c r="J10" s="745"/>
      <c r="K10" s="745"/>
      <c r="L10" s="745"/>
      <c r="M10" s="745"/>
      <c r="N10" s="746">
        <f>IF(T10=0,0,IF('Project Information'!F12=Measures!B1,Measures!B3,IF('Project Information'!F12=Measures!C1,Measures!C3,IF('Project Information'!F12=Measures!D1,Measures!D3,0))))</f>
        <v>0</v>
      </c>
      <c r="O10" s="747"/>
      <c r="P10" s="747"/>
      <c r="Q10" s="748" t="s">
        <v>115</v>
      </c>
      <c r="R10" s="748"/>
      <c r="S10" s="749"/>
      <c r="T10" s="750">
        <f>G11-M11</f>
        <v>0</v>
      </c>
      <c r="U10" s="750"/>
      <c r="V10" s="750"/>
      <c r="W10" s="751"/>
      <c r="X10" s="752"/>
      <c r="Y10" s="753"/>
      <c r="Z10" s="753"/>
      <c r="AA10" s="753"/>
      <c r="AB10" s="753"/>
      <c r="AC10" s="754"/>
      <c r="AD10" s="755" t="str">
        <f>IF(ISBLANK(X10),"",N10*T10)</f>
        <v/>
      </c>
      <c r="AE10" s="756"/>
      <c r="AF10" s="756"/>
      <c r="AG10" s="756"/>
      <c r="AH10" s="756"/>
      <c r="AI10" s="757"/>
      <c r="AJ10" s="756" t="str">
        <f>IF(ISBLANK(X10),"",X10-AD10)</f>
        <v/>
      </c>
      <c r="AK10" s="756"/>
      <c r="AL10" s="756"/>
      <c r="AM10" s="756"/>
      <c r="AN10" s="756"/>
      <c r="AO10" s="758"/>
    </row>
    <row r="11" spans="2:43" s="5" customFormat="1" ht="21.6" customHeight="1">
      <c r="B11" s="816"/>
      <c r="C11" s="817"/>
      <c r="D11" s="734" t="s">
        <v>171</v>
      </c>
      <c r="E11" s="735"/>
      <c r="F11" s="735"/>
      <c r="G11" s="801"/>
      <c r="H11" s="801"/>
      <c r="I11" s="802"/>
      <c r="J11" s="734" t="s">
        <v>172</v>
      </c>
      <c r="K11" s="735"/>
      <c r="L11" s="735"/>
      <c r="M11" s="801"/>
      <c r="N11" s="801"/>
      <c r="O11" s="802"/>
      <c r="P11" s="803" t="s">
        <v>116</v>
      </c>
      <c r="Q11" s="804"/>
      <c r="R11" s="804"/>
      <c r="S11" s="805"/>
      <c r="T11" s="410"/>
      <c r="U11" s="806" t="s">
        <v>117</v>
      </c>
      <c r="V11" s="807"/>
      <c r="W11" s="411"/>
      <c r="X11" s="808" t="s">
        <v>118</v>
      </c>
      <c r="Y11" s="809"/>
      <c r="Z11" s="809"/>
      <c r="AA11" s="810"/>
      <c r="AB11" s="411"/>
      <c r="AC11" s="808" t="s">
        <v>119</v>
      </c>
      <c r="AD11" s="809"/>
      <c r="AE11" s="809"/>
      <c r="AF11" s="810"/>
      <c r="AG11" s="411"/>
      <c r="AH11" s="808" t="s">
        <v>120</v>
      </c>
      <c r="AI11" s="809"/>
      <c r="AJ11" s="809"/>
      <c r="AK11" s="809"/>
      <c r="AL11" s="810"/>
      <c r="AM11" s="411"/>
      <c r="AN11" s="808" t="s">
        <v>19</v>
      </c>
      <c r="AO11" s="811"/>
      <c r="AQ11" s="251"/>
    </row>
    <row r="12" spans="2:43" s="5" customFormat="1" ht="25.95" customHeight="1">
      <c r="B12" s="812"/>
      <c r="C12" s="813"/>
      <c r="D12" s="745" t="s">
        <v>122</v>
      </c>
      <c r="E12" s="745"/>
      <c r="F12" s="745"/>
      <c r="G12" s="745"/>
      <c r="H12" s="745"/>
      <c r="I12" s="745"/>
      <c r="J12" s="745"/>
      <c r="K12" s="745"/>
      <c r="L12" s="745"/>
      <c r="M12" s="745"/>
      <c r="N12" s="746">
        <f>IF(T12=0,0,IF('Project Information'!F12=Measures!B1,Measures!B4,IF('Project Information'!F12=Measures!C1,Measures!C4,IF('Project Information'!F12=Measures!D1,Measures!D4,0))))</f>
        <v>0</v>
      </c>
      <c r="O12" s="747"/>
      <c r="P12" s="747"/>
      <c r="Q12" s="748" t="s">
        <v>121</v>
      </c>
      <c r="R12" s="748"/>
      <c r="S12" s="749"/>
      <c r="T12" s="750">
        <f>E13+E14</f>
        <v>0</v>
      </c>
      <c r="U12" s="750"/>
      <c r="V12" s="750"/>
      <c r="W12" s="751"/>
      <c r="X12" s="752"/>
      <c r="Y12" s="753"/>
      <c r="Z12" s="753"/>
      <c r="AA12" s="753"/>
      <c r="AB12" s="753"/>
      <c r="AC12" s="754"/>
      <c r="AD12" s="755" t="str">
        <f>IF(ISBLANK(X12),"",N12*T12)</f>
        <v/>
      </c>
      <c r="AE12" s="756"/>
      <c r="AF12" s="756"/>
      <c r="AG12" s="756"/>
      <c r="AH12" s="756"/>
      <c r="AI12" s="757"/>
      <c r="AJ12" s="756" t="str">
        <f>IF(ISBLANK(X12),"",X12-AD12)</f>
        <v/>
      </c>
      <c r="AK12" s="756"/>
      <c r="AL12" s="756"/>
      <c r="AM12" s="756"/>
      <c r="AN12" s="756"/>
      <c r="AO12" s="758"/>
      <c r="AQ12" s="251"/>
    </row>
    <row r="13" spans="2:43" s="5" customFormat="1" ht="21.6" customHeight="1">
      <c r="B13" s="814"/>
      <c r="C13" s="815"/>
      <c r="D13" s="245" t="s">
        <v>126</v>
      </c>
      <c r="E13" s="736"/>
      <c r="F13" s="736"/>
      <c r="G13" s="736"/>
      <c r="H13" s="734" t="s">
        <v>123</v>
      </c>
      <c r="I13" s="735"/>
      <c r="J13" s="736"/>
      <c r="K13" s="736"/>
      <c r="L13" s="736"/>
      <c r="M13" s="737"/>
      <c r="N13" s="734" t="s">
        <v>124</v>
      </c>
      <c r="O13" s="735"/>
      <c r="P13" s="736"/>
      <c r="Q13" s="737"/>
      <c r="R13" s="738" t="s">
        <v>125</v>
      </c>
      <c r="S13" s="738"/>
      <c r="T13" s="738"/>
      <c r="U13" s="736"/>
      <c r="V13" s="736"/>
      <c r="W13" s="737"/>
      <c r="X13" s="739" t="s">
        <v>426</v>
      </c>
      <c r="Y13" s="740"/>
      <c r="Z13" s="740"/>
      <c r="AA13" s="741"/>
      <c r="AB13" s="742"/>
      <c r="AC13" s="739" t="s">
        <v>127</v>
      </c>
      <c r="AD13" s="740"/>
      <c r="AE13" s="740"/>
      <c r="AF13" s="741"/>
      <c r="AG13" s="742"/>
      <c r="AH13" s="739" t="s">
        <v>128</v>
      </c>
      <c r="AI13" s="740"/>
      <c r="AJ13" s="740"/>
      <c r="AK13" s="732"/>
      <c r="AL13" s="732"/>
      <c r="AM13" s="732"/>
      <c r="AN13" s="732"/>
      <c r="AO13" s="733"/>
    </row>
    <row r="14" spans="2:43" s="5" customFormat="1" ht="21.6" customHeight="1">
      <c r="B14" s="816"/>
      <c r="C14" s="817"/>
      <c r="D14" s="245" t="s">
        <v>126</v>
      </c>
      <c r="E14" s="736"/>
      <c r="F14" s="736"/>
      <c r="G14" s="736"/>
      <c r="H14" s="734" t="s">
        <v>123</v>
      </c>
      <c r="I14" s="735"/>
      <c r="J14" s="736"/>
      <c r="K14" s="736"/>
      <c r="L14" s="736"/>
      <c r="M14" s="737"/>
      <c r="N14" s="734" t="s">
        <v>124</v>
      </c>
      <c r="O14" s="735"/>
      <c r="P14" s="736"/>
      <c r="Q14" s="737"/>
      <c r="R14" s="738" t="s">
        <v>125</v>
      </c>
      <c r="S14" s="738"/>
      <c r="T14" s="738"/>
      <c r="U14" s="736"/>
      <c r="V14" s="736"/>
      <c r="W14" s="737"/>
      <c r="X14" s="739" t="s">
        <v>426</v>
      </c>
      <c r="Y14" s="740"/>
      <c r="Z14" s="740"/>
      <c r="AA14" s="741"/>
      <c r="AB14" s="742"/>
      <c r="AC14" s="739" t="s">
        <v>127</v>
      </c>
      <c r="AD14" s="740"/>
      <c r="AE14" s="740"/>
      <c r="AF14" s="741"/>
      <c r="AG14" s="742"/>
      <c r="AH14" s="739" t="s">
        <v>128</v>
      </c>
      <c r="AI14" s="740"/>
      <c r="AJ14" s="740"/>
      <c r="AK14" s="732"/>
      <c r="AL14" s="732"/>
      <c r="AM14" s="732"/>
      <c r="AN14" s="732"/>
      <c r="AO14" s="733"/>
    </row>
    <row r="15" spans="2:43" s="5" customFormat="1" ht="25.95" customHeight="1">
      <c r="B15" s="743"/>
      <c r="C15" s="744"/>
      <c r="D15" s="745" t="s">
        <v>1491</v>
      </c>
      <c r="E15" s="745"/>
      <c r="F15" s="745"/>
      <c r="G15" s="745"/>
      <c r="H15" s="745"/>
      <c r="I15" s="745"/>
      <c r="J15" s="745"/>
      <c r="K15" s="745"/>
      <c r="L15" s="745"/>
      <c r="M15" s="745"/>
      <c r="N15" s="746">
        <f>IF(T15=0,0,IF('Project Information'!F12=Measures!B1,Measures!B5,IF('Project Information'!F12=Measures!C1,Measures!C5,IF('Project Information'!F12=Measures!D1,Measures!D5,0))))</f>
        <v>0</v>
      </c>
      <c r="O15" s="747"/>
      <c r="P15" s="747"/>
      <c r="Q15" s="748" t="s">
        <v>121</v>
      </c>
      <c r="R15" s="748"/>
      <c r="S15" s="749"/>
      <c r="T15" s="750">
        <f>E16+E17</f>
        <v>0</v>
      </c>
      <c r="U15" s="750"/>
      <c r="V15" s="750"/>
      <c r="W15" s="751"/>
      <c r="X15" s="752"/>
      <c r="Y15" s="753"/>
      <c r="Z15" s="753"/>
      <c r="AA15" s="753"/>
      <c r="AB15" s="753"/>
      <c r="AC15" s="754"/>
      <c r="AD15" s="755" t="str">
        <f>IF(ISBLANK(X15),"",N15*T15)</f>
        <v/>
      </c>
      <c r="AE15" s="756"/>
      <c r="AF15" s="756"/>
      <c r="AG15" s="756"/>
      <c r="AH15" s="756"/>
      <c r="AI15" s="757"/>
      <c r="AJ15" s="756" t="str">
        <f>IF(ISBLANK(X15),"",X15-AD15)</f>
        <v/>
      </c>
      <c r="AK15" s="756"/>
      <c r="AL15" s="756"/>
      <c r="AM15" s="756"/>
      <c r="AN15" s="756"/>
      <c r="AO15" s="758"/>
    </row>
    <row r="16" spans="2:43" s="5" customFormat="1" ht="21.6" customHeight="1">
      <c r="B16" s="743"/>
      <c r="C16" s="744"/>
      <c r="D16" s="246" t="s">
        <v>126</v>
      </c>
      <c r="E16" s="736"/>
      <c r="F16" s="736"/>
      <c r="G16" s="736"/>
      <c r="H16" s="734" t="s">
        <v>123</v>
      </c>
      <c r="I16" s="735"/>
      <c r="J16" s="736"/>
      <c r="K16" s="736"/>
      <c r="L16" s="736"/>
      <c r="M16" s="737"/>
      <c r="N16" s="734" t="s">
        <v>124</v>
      </c>
      <c r="O16" s="735"/>
      <c r="P16" s="736"/>
      <c r="Q16" s="737"/>
      <c r="R16" s="738" t="s">
        <v>125</v>
      </c>
      <c r="S16" s="738"/>
      <c r="T16" s="738"/>
      <c r="U16" s="736"/>
      <c r="V16" s="736"/>
      <c r="W16" s="737"/>
      <c r="X16" s="739" t="s">
        <v>426</v>
      </c>
      <c r="Y16" s="740"/>
      <c r="Z16" s="740"/>
      <c r="AA16" s="741"/>
      <c r="AB16" s="742"/>
      <c r="AC16" s="739" t="s">
        <v>127</v>
      </c>
      <c r="AD16" s="740"/>
      <c r="AE16" s="740"/>
      <c r="AF16" s="741"/>
      <c r="AG16" s="742"/>
      <c r="AH16" s="739" t="s">
        <v>128</v>
      </c>
      <c r="AI16" s="740"/>
      <c r="AJ16" s="740"/>
      <c r="AK16" s="732"/>
      <c r="AL16" s="732"/>
      <c r="AM16" s="732"/>
      <c r="AN16" s="732"/>
      <c r="AO16" s="733"/>
    </row>
    <row r="17" spans="2:43" s="5" customFormat="1" ht="21.6" customHeight="1">
      <c r="B17" s="743"/>
      <c r="C17" s="744"/>
      <c r="D17" s="246" t="s">
        <v>126</v>
      </c>
      <c r="E17" s="736"/>
      <c r="F17" s="736"/>
      <c r="G17" s="736"/>
      <c r="H17" s="734" t="s">
        <v>123</v>
      </c>
      <c r="I17" s="735"/>
      <c r="J17" s="736"/>
      <c r="K17" s="736"/>
      <c r="L17" s="736"/>
      <c r="M17" s="737"/>
      <c r="N17" s="734" t="s">
        <v>124</v>
      </c>
      <c r="O17" s="735"/>
      <c r="P17" s="736"/>
      <c r="Q17" s="737"/>
      <c r="R17" s="738" t="s">
        <v>125</v>
      </c>
      <c r="S17" s="738"/>
      <c r="T17" s="738"/>
      <c r="U17" s="736"/>
      <c r="V17" s="736"/>
      <c r="W17" s="737"/>
      <c r="X17" s="739" t="s">
        <v>426</v>
      </c>
      <c r="Y17" s="740"/>
      <c r="Z17" s="740"/>
      <c r="AA17" s="741"/>
      <c r="AB17" s="742"/>
      <c r="AC17" s="739" t="s">
        <v>127</v>
      </c>
      <c r="AD17" s="740"/>
      <c r="AE17" s="740"/>
      <c r="AF17" s="741"/>
      <c r="AG17" s="742"/>
      <c r="AH17" s="739" t="s">
        <v>128</v>
      </c>
      <c r="AI17" s="740"/>
      <c r="AJ17" s="740"/>
      <c r="AK17" s="732"/>
      <c r="AL17" s="732"/>
      <c r="AM17" s="732"/>
      <c r="AN17" s="732"/>
      <c r="AO17" s="733"/>
    </row>
    <row r="18" spans="2:43" s="18" customFormat="1" ht="25.95" customHeight="1">
      <c r="B18" s="743"/>
      <c r="C18" s="744"/>
      <c r="D18" s="745" t="s">
        <v>1500</v>
      </c>
      <c r="E18" s="745"/>
      <c r="F18" s="745"/>
      <c r="G18" s="745"/>
      <c r="H18" s="745"/>
      <c r="I18" s="745"/>
      <c r="J18" s="745"/>
      <c r="K18" s="745"/>
      <c r="L18" s="745"/>
      <c r="M18" s="745"/>
      <c r="N18" s="746">
        <f>IF(T18=0,0,IF('Project Information'!F12=Measures!B1,Measures!B6,IF('Project Information'!F12=Measures!C1,Measures!C6,0)))</f>
        <v>0</v>
      </c>
      <c r="O18" s="747"/>
      <c r="P18" s="747"/>
      <c r="Q18" s="748" t="s">
        <v>121</v>
      </c>
      <c r="R18" s="748"/>
      <c r="S18" s="749"/>
      <c r="T18" s="750">
        <f>E19+E20</f>
        <v>0</v>
      </c>
      <c r="U18" s="750"/>
      <c r="V18" s="750"/>
      <c r="W18" s="751"/>
      <c r="X18" s="752"/>
      <c r="Y18" s="753"/>
      <c r="Z18" s="753"/>
      <c r="AA18" s="753"/>
      <c r="AB18" s="753"/>
      <c r="AC18" s="754"/>
      <c r="AD18" s="755" t="str">
        <f>IF(ISBLANK(X18),"",N18*T18)</f>
        <v/>
      </c>
      <c r="AE18" s="756"/>
      <c r="AF18" s="756"/>
      <c r="AG18" s="756"/>
      <c r="AH18" s="756"/>
      <c r="AI18" s="757"/>
      <c r="AJ18" s="756" t="str">
        <f>IF(ISBLANK(X18),"",X18-AD18)</f>
        <v/>
      </c>
      <c r="AK18" s="756"/>
      <c r="AL18" s="756"/>
      <c r="AM18" s="756"/>
      <c r="AN18" s="756"/>
      <c r="AO18" s="758"/>
    </row>
    <row r="19" spans="2:43" s="1" customFormat="1" ht="21.75" customHeight="1">
      <c r="B19" s="743"/>
      <c r="C19" s="744"/>
      <c r="D19" s="246" t="s">
        <v>126</v>
      </c>
      <c r="E19" s="736"/>
      <c r="F19" s="736"/>
      <c r="G19" s="736"/>
      <c r="H19" s="734" t="s">
        <v>123</v>
      </c>
      <c r="I19" s="735"/>
      <c r="J19" s="736"/>
      <c r="K19" s="736"/>
      <c r="L19" s="736"/>
      <c r="M19" s="737"/>
      <c r="N19" s="734" t="s">
        <v>124</v>
      </c>
      <c r="O19" s="735"/>
      <c r="P19" s="736"/>
      <c r="Q19" s="737"/>
      <c r="R19" s="738" t="s">
        <v>125</v>
      </c>
      <c r="S19" s="738"/>
      <c r="T19" s="738"/>
      <c r="U19" s="736"/>
      <c r="V19" s="736"/>
      <c r="W19" s="737"/>
      <c r="X19" s="739" t="s">
        <v>426</v>
      </c>
      <c r="Y19" s="740"/>
      <c r="Z19" s="740"/>
      <c r="AA19" s="741"/>
      <c r="AB19" s="742"/>
      <c r="AC19" s="739" t="s">
        <v>127</v>
      </c>
      <c r="AD19" s="740"/>
      <c r="AE19" s="740"/>
      <c r="AF19" s="741"/>
      <c r="AG19" s="742"/>
      <c r="AH19" s="739" t="s">
        <v>128</v>
      </c>
      <c r="AI19" s="740"/>
      <c r="AJ19" s="740"/>
      <c r="AK19" s="732"/>
      <c r="AL19" s="732"/>
      <c r="AM19" s="732"/>
      <c r="AN19" s="732"/>
      <c r="AO19" s="733"/>
    </row>
    <row r="20" spans="2:43" s="1" customFormat="1" ht="21.75" customHeight="1">
      <c r="B20" s="743"/>
      <c r="C20" s="744"/>
      <c r="D20" s="246" t="s">
        <v>126</v>
      </c>
      <c r="E20" s="736"/>
      <c r="F20" s="736"/>
      <c r="G20" s="736"/>
      <c r="H20" s="734" t="s">
        <v>123</v>
      </c>
      <c r="I20" s="735"/>
      <c r="J20" s="736"/>
      <c r="K20" s="736"/>
      <c r="L20" s="736"/>
      <c r="M20" s="737"/>
      <c r="N20" s="734" t="s">
        <v>124</v>
      </c>
      <c r="O20" s="735"/>
      <c r="P20" s="736"/>
      <c r="Q20" s="737"/>
      <c r="R20" s="738" t="s">
        <v>125</v>
      </c>
      <c r="S20" s="738"/>
      <c r="T20" s="738"/>
      <c r="U20" s="736"/>
      <c r="V20" s="736"/>
      <c r="W20" s="737"/>
      <c r="X20" s="739" t="s">
        <v>426</v>
      </c>
      <c r="Y20" s="740"/>
      <c r="Z20" s="740"/>
      <c r="AA20" s="741"/>
      <c r="AB20" s="742"/>
      <c r="AC20" s="739" t="s">
        <v>127</v>
      </c>
      <c r="AD20" s="740"/>
      <c r="AE20" s="740"/>
      <c r="AF20" s="741"/>
      <c r="AG20" s="742"/>
      <c r="AH20" s="739" t="s">
        <v>128</v>
      </c>
      <c r="AI20" s="740"/>
      <c r="AJ20" s="740"/>
      <c r="AK20" s="732"/>
      <c r="AL20" s="732"/>
      <c r="AM20" s="732"/>
      <c r="AN20" s="732"/>
      <c r="AO20" s="733"/>
    </row>
    <row r="21" spans="2:43" s="1" customFormat="1" ht="25.95" customHeight="1">
      <c r="B21" s="812"/>
      <c r="C21" s="813"/>
      <c r="D21" s="745" t="s">
        <v>1081</v>
      </c>
      <c r="E21" s="745"/>
      <c r="F21" s="745"/>
      <c r="G21" s="745"/>
      <c r="H21" s="745"/>
      <c r="I21" s="745"/>
      <c r="J21" s="745"/>
      <c r="K21" s="745"/>
      <c r="L21" s="745"/>
      <c r="M21" s="745"/>
      <c r="N21" s="746">
        <f>IF(ISBLANK(T21),0,IF('Project Information'!F12=Measures!B1,Measures!B7,IF('Project Information'!F12=Measures!C1,Measures!C7,IF('Project Information'!F12=Measures!D1,Measures!D7,0))))</f>
        <v>0</v>
      </c>
      <c r="O21" s="747"/>
      <c r="P21" s="747"/>
      <c r="Q21" s="748" t="s">
        <v>121</v>
      </c>
      <c r="R21" s="748"/>
      <c r="S21" s="749"/>
      <c r="T21" s="818"/>
      <c r="U21" s="818"/>
      <c r="V21" s="818"/>
      <c r="W21" s="819"/>
      <c r="X21" s="752"/>
      <c r="Y21" s="753"/>
      <c r="Z21" s="753"/>
      <c r="AA21" s="753"/>
      <c r="AB21" s="753"/>
      <c r="AC21" s="754"/>
      <c r="AD21" s="755" t="str">
        <f>IF(ISBLANK(T21),"",N21*T21)</f>
        <v/>
      </c>
      <c r="AE21" s="756"/>
      <c r="AF21" s="756"/>
      <c r="AG21" s="756"/>
      <c r="AH21" s="756"/>
      <c r="AI21" s="757"/>
      <c r="AJ21" s="756" t="str">
        <f>IF(ISBLANK(T21),"",X21-AD21)</f>
        <v/>
      </c>
      <c r="AK21" s="756"/>
      <c r="AL21" s="756"/>
      <c r="AM21" s="756"/>
      <c r="AN21" s="756"/>
      <c r="AO21" s="758"/>
      <c r="AQ21" s="233"/>
    </row>
    <row r="22" spans="2:43" s="1" customFormat="1" ht="21.75" customHeight="1">
      <c r="B22" s="816"/>
      <c r="C22" s="817"/>
      <c r="D22" s="820"/>
      <c r="E22" s="821"/>
      <c r="F22" s="821"/>
      <c r="G22" s="821"/>
      <c r="H22" s="821"/>
      <c r="I22" s="821"/>
      <c r="J22" s="821"/>
      <c r="K22" s="821"/>
      <c r="L22" s="821"/>
      <c r="M22" s="821"/>
      <c r="N22" s="821"/>
      <c r="O22" s="821"/>
      <c r="P22" s="821"/>
      <c r="Q22" s="821"/>
      <c r="R22" s="821"/>
      <c r="S22" s="821"/>
      <c r="T22" s="821"/>
      <c r="U22" s="821"/>
      <c r="V22" s="821"/>
      <c r="W22" s="822"/>
      <c r="X22" s="739" t="s">
        <v>426</v>
      </c>
      <c r="Y22" s="740"/>
      <c r="Z22" s="740"/>
      <c r="AA22" s="741"/>
      <c r="AB22" s="742"/>
      <c r="AC22" s="739" t="s">
        <v>127</v>
      </c>
      <c r="AD22" s="740"/>
      <c r="AE22" s="740"/>
      <c r="AF22" s="741"/>
      <c r="AG22" s="742"/>
      <c r="AH22" s="739" t="s">
        <v>128</v>
      </c>
      <c r="AI22" s="740"/>
      <c r="AJ22" s="740"/>
      <c r="AK22" s="732"/>
      <c r="AL22" s="732"/>
      <c r="AM22" s="732"/>
      <c r="AN22" s="732"/>
      <c r="AO22" s="733"/>
    </row>
    <row r="23" spans="2:43" s="1" customFormat="1" ht="25.95" customHeight="1">
      <c r="B23" s="812"/>
      <c r="C23" s="813"/>
      <c r="D23" s="745" t="s">
        <v>1082</v>
      </c>
      <c r="E23" s="745"/>
      <c r="F23" s="745"/>
      <c r="G23" s="745"/>
      <c r="H23" s="745"/>
      <c r="I23" s="745"/>
      <c r="J23" s="745"/>
      <c r="K23" s="745"/>
      <c r="L23" s="745"/>
      <c r="M23" s="745"/>
      <c r="N23" s="746">
        <f>IF(ISBLANK(T23),0,IF('Project Information'!F12=Measures!B1,Measures!B8,IF('Project Information'!F12=Measures!C1,Measures!C8,IF('Project Information'!F12=Measures!D1,Measures!D8,0))))</f>
        <v>0</v>
      </c>
      <c r="O23" s="747"/>
      <c r="P23" s="747"/>
      <c r="Q23" s="748" t="s">
        <v>121</v>
      </c>
      <c r="R23" s="748"/>
      <c r="S23" s="749"/>
      <c r="T23" s="818"/>
      <c r="U23" s="818"/>
      <c r="V23" s="818"/>
      <c r="W23" s="819"/>
      <c r="X23" s="752"/>
      <c r="Y23" s="753"/>
      <c r="Z23" s="753"/>
      <c r="AA23" s="753"/>
      <c r="AB23" s="753"/>
      <c r="AC23" s="754"/>
      <c r="AD23" s="755" t="str">
        <f>IF(ISBLANK(T23),"",N23*T23)</f>
        <v/>
      </c>
      <c r="AE23" s="756"/>
      <c r="AF23" s="756"/>
      <c r="AG23" s="756"/>
      <c r="AH23" s="756"/>
      <c r="AI23" s="757"/>
      <c r="AJ23" s="756" t="str">
        <f>IF(ISBLANK(T23),"",X23-AD23)</f>
        <v/>
      </c>
      <c r="AK23" s="756"/>
      <c r="AL23" s="756"/>
      <c r="AM23" s="756"/>
      <c r="AN23" s="756"/>
      <c r="AO23" s="758"/>
    </row>
    <row r="24" spans="2:43" s="1" customFormat="1" ht="21.75" customHeight="1">
      <c r="B24" s="816"/>
      <c r="C24" s="817"/>
      <c r="D24" s="823" t="s">
        <v>129</v>
      </c>
      <c r="E24" s="824"/>
      <c r="F24" s="824"/>
      <c r="G24" s="824"/>
      <c r="H24" s="824"/>
      <c r="I24" s="824"/>
      <c r="J24" s="824"/>
      <c r="K24" s="824"/>
      <c r="L24" s="824"/>
      <c r="M24" s="824"/>
      <c r="N24" s="792"/>
      <c r="O24" s="792"/>
      <c r="P24" s="792"/>
      <c r="Q24" s="792"/>
      <c r="R24" s="792"/>
      <c r="S24" s="792"/>
      <c r="T24" s="821"/>
      <c r="U24" s="821"/>
      <c r="V24" s="821"/>
      <c r="W24" s="822"/>
      <c r="X24" s="739" t="s">
        <v>426</v>
      </c>
      <c r="Y24" s="740"/>
      <c r="Z24" s="740"/>
      <c r="AA24" s="741"/>
      <c r="AB24" s="742"/>
      <c r="AC24" s="739" t="s">
        <v>127</v>
      </c>
      <c r="AD24" s="740"/>
      <c r="AE24" s="740"/>
      <c r="AF24" s="741"/>
      <c r="AG24" s="742"/>
      <c r="AH24" s="739" t="s">
        <v>128</v>
      </c>
      <c r="AI24" s="740"/>
      <c r="AJ24" s="740"/>
      <c r="AK24" s="732"/>
      <c r="AL24" s="732"/>
      <c r="AM24" s="732"/>
      <c r="AN24" s="732"/>
      <c r="AO24" s="733"/>
    </row>
    <row r="25" spans="2:43" s="1" customFormat="1" ht="25.95" customHeight="1">
      <c r="B25" s="812"/>
      <c r="C25" s="813"/>
      <c r="D25" s="745" t="s">
        <v>1083</v>
      </c>
      <c r="E25" s="745"/>
      <c r="F25" s="745"/>
      <c r="G25" s="745"/>
      <c r="H25" s="745"/>
      <c r="I25" s="745"/>
      <c r="J25" s="745"/>
      <c r="K25" s="745"/>
      <c r="L25" s="745"/>
      <c r="M25" s="745"/>
      <c r="N25" s="746">
        <f>IF(ISBLANK(T25),0,IF('Project Information'!F12=Measures!B1,Measures!B9,IF('Project Information'!F12=Measures!C1,Measures!C9,IF('Project Information'!F12=Measures!D1,Measures!D9,0))))</f>
        <v>0</v>
      </c>
      <c r="O25" s="747"/>
      <c r="P25" s="747"/>
      <c r="Q25" s="748" t="s">
        <v>936</v>
      </c>
      <c r="R25" s="748"/>
      <c r="S25" s="749"/>
      <c r="T25" s="818"/>
      <c r="U25" s="818"/>
      <c r="V25" s="818"/>
      <c r="W25" s="819"/>
      <c r="X25" s="752"/>
      <c r="Y25" s="753"/>
      <c r="Z25" s="753"/>
      <c r="AA25" s="753"/>
      <c r="AB25" s="753"/>
      <c r="AC25" s="754"/>
      <c r="AD25" s="755" t="str">
        <f>IF(ISBLANK(T25),"",N25*T25)</f>
        <v/>
      </c>
      <c r="AE25" s="756"/>
      <c r="AF25" s="756"/>
      <c r="AG25" s="756"/>
      <c r="AH25" s="756"/>
      <c r="AI25" s="757"/>
      <c r="AJ25" s="756" t="str">
        <f>IF(ISBLANK(T25),"",X25-AD25)</f>
        <v/>
      </c>
      <c r="AK25" s="756"/>
      <c r="AL25" s="756"/>
      <c r="AM25" s="756"/>
      <c r="AN25" s="756"/>
      <c r="AO25" s="758"/>
    </row>
    <row r="26" spans="2:43" s="1" customFormat="1" ht="21.75" customHeight="1">
      <c r="B26" s="816"/>
      <c r="C26" s="817"/>
      <c r="D26" s="820"/>
      <c r="E26" s="821"/>
      <c r="F26" s="821"/>
      <c r="G26" s="821"/>
      <c r="H26" s="821"/>
      <c r="I26" s="821"/>
      <c r="J26" s="821"/>
      <c r="K26" s="821"/>
      <c r="L26" s="821"/>
      <c r="M26" s="821"/>
      <c r="N26" s="821"/>
      <c r="O26" s="821"/>
      <c r="P26" s="821"/>
      <c r="Q26" s="821"/>
      <c r="R26" s="821"/>
      <c r="S26" s="821"/>
      <c r="T26" s="821"/>
      <c r="U26" s="821"/>
      <c r="V26" s="821"/>
      <c r="W26" s="822"/>
      <c r="X26" s="739" t="s">
        <v>426</v>
      </c>
      <c r="Y26" s="740"/>
      <c r="Z26" s="740"/>
      <c r="AA26" s="741"/>
      <c r="AB26" s="742"/>
      <c r="AC26" s="739" t="s">
        <v>127</v>
      </c>
      <c r="AD26" s="740"/>
      <c r="AE26" s="740"/>
      <c r="AF26" s="741"/>
      <c r="AG26" s="742"/>
      <c r="AH26" s="739" t="s">
        <v>128</v>
      </c>
      <c r="AI26" s="740"/>
      <c r="AJ26" s="740"/>
      <c r="AK26" s="732"/>
      <c r="AL26" s="732"/>
      <c r="AM26" s="732"/>
      <c r="AN26" s="732"/>
      <c r="AO26" s="733"/>
    </row>
    <row r="27" spans="2:43" s="1" customFormat="1" ht="25.95" customHeight="1">
      <c r="B27" s="812"/>
      <c r="C27" s="813"/>
      <c r="D27" s="825" t="s">
        <v>1084</v>
      </c>
      <c r="E27" s="825"/>
      <c r="F27" s="825"/>
      <c r="G27" s="825"/>
      <c r="H27" s="825"/>
      <c r="I27" s="825"/>
      <c r="J27" s="825"/>
      <c r="K27" s="825"/>
      <c r="L27" s="825"/>
      <c r="M27" s="825"/>
      <c r="N27" s="746">
        <f>IF(ISBLANK(T27),0,IF(D27=Measures!I26,IF('Project Information'!F12=Measures!B1,Measures!B10,IF('Project Information'!F12=Measures!C1,Measures!C10,IF('Project Information'!F12=Measures!D1,Measures!D10))),IF(D27=Measures!I27,IF('Project Information'!F12=Measures!B1,Measures!B11,IF('Project Information'!F12=Measures!C1,Measures!C11,IF('Project Information'!F12=Measures!D1,Measures!D11))))))</f>
        <v>0</v>
      </c>
      <c r="O27" s="747"/>
      <c r="P27" s="747"/>
      <c r="Q27" s="748" t="s">
        <v>936</v>
      </c>
      <c r="R27" s="748"/>
      <c r="S27" s="749"/>
      <c r="T27" s="818"/>
      <c r="U27" s="818"/>
      <c r="V27" s="818"/>
      <c r="W27" s="819"/>
      <c r="X27" s="752"/>
      <c r="Y27" s="753"/>
      <c r="Z27" s="753"/>
      <c r="AA27" s="753"/>
      <c r="AB27" s="753"/>
      <c r="AC27" s="754"/>
      <c r="AD27" s="755" t="str">
        <f>IF(ISBLANK(T27),"",N27*T27)</f>
        <v/>
      </c>
      <c r="AE27" s="756"/>
      <c r="AF27" s="756"/>
      <c r="AG27" s="756"/>
      <c r="AH27" s="756"/>
      <c r="AI27" s="757"/>
      <c r="AJ27" s="756" t="str">
        <f>IF(ISBLANK(T27),"",X27-AD27)</f>
        <v/>
      </c>
      <c r="AK27" s="756"/>
      <c r="AL27" s="756"/>
      <c r="AM27" s="756"/>
      <c r="AN27" s="756"/>
      <c r="AO27" s="758"/>
    </row>
    <row r="28" spans="2:43" s="1" customFormat="1" ht="21.75" customHeight="1">
      <c r="B28" s="816"/>
      <c r="C28" s="817"/>
      <c r="D28" s="794"/>
      <c r="E28" s="790"/>
      <c r="F28" s="790"/>
      <c r="G28" s="790"/>
      <c r="H28" s="735" t="s">
        <v>941</v>
      </c>
      <c r="I28" s="795"/>
      <c r="J28" s="795"/>
      <c r="K28" s="795"/>
      <c r="L28" s="792"/>
      <c r="M28" s="793"/>
      <c r="N28" s="735" t="s">
        <v>942</v>
      </c>
      <c r="O28" s="795"/>
      <c r="P28" s="795"/>
      <c r="Q28" s="795"/>
      <c r="R28" s="792"/>
      <c r="S28" s="793"/>
      <c r="T28" s="795" t="s">
        <v>214</v>
      </c>
      <c r="U28" s="795"/>
      <c r="V28" s="790">
        <f>L28+R28</f>
        <v>0</v>
      </c>
      <c r="W28" s="791"/>
      <c r="X28" s="739" t="s">
        <v>426</v>
      </c>
      <c r="Y28" s="740"/>
      <c r="Z28" s="740"/>
      <c r="AA28" s="741"/>
      <c r="AB28" s="742"/>
      <c r="AC28" s="739" t="s">
        <v>127</v>
      </c>
      <c r="AD28" s="740"/>
      <c r="AE28" s="740"/>
      <c r="AF28" s="741"/>
      <c r="AG28" s="742"/>
      <c r="AH28" s="739" t="s">
        <v>128</v>
      </c>
      <c r="AI28" s="740"/>
      <c r="AJ28" s="740"/>
      <c r="AK28" s="732"/>
      <c r="AL28" s="732"/>
      <c r="AM28" s="732"/>
      <c r="AN28" s="732"/>
      <c r="AO28" s="733"/>
    </row>
    <row r="29" spans="2:43" s="1" customFormat="1" ht="25.95" customHeight="1">
      <c r="B29" s="812"/>
      <c r="C29" s="813"/>
      <c r="D29" s="745" t="s">
        <v>136</v>
      </c>
      <c r="E29" s="745"/>
      <c r="F29" s="745"/>
      <c r="G29" s="745"/>
      <c r="H29" s="745"/>
      <c r="I29" s="745"/>
      <c r="J29" s="745"/>
      <c r="K29" s="745"/>
      <c r="L29" s="745"/>
      <c r="M29" s="745"/>
      <c r="N29" s="746">
        <f>IF(ISBLANK(T29),0,IF('Project Information'!F12=Measures!B1,Measures!B14,IF('Project Information'!F12=Measures!C1,Measures!C14,IF('Project Information'!F12=Measures!D1,Measures!D14,0))))</f>
        <v>0</v>
      </c>
      <c r="O29" s="747"/>
      <c r="P29" s="747"/>
      <c r="Q29" s="748" t="s">
        <v>137</v>
      </c>
      <c r="R29" s="748"/>
      <c r="S29" s="749"/>
      <c r="T29" s="818"/>
      <c r="U29" s="818"/>
      <c r="V29" s="818"/>
      <c r="W29" s="819"/>
      <c r="X29" s="752"/>
      <c r="Y29" s="753"/>
      <c r="Z29" s="753"/>
      <c r="AA29" s="753"/>
      <c r="AB29" s="753"/>
      <c r="AC29" s="754"/>
      <c r="AD29" s="755" t="str">
        <f>IF(ISBLANK(T29),"",N29*T29)</f>
        <v/>
      </c>
      <c r="AE29" s="756"/>
      <c r="AF29" s="756"/>
      <c r="AG29" s="756"/>
      <c r="AH29" s="756"/>
      <c r="AI29" s="757"/>
      <c r="AJ29" s="756" t="str">
        <f>IF(ISBLANK(T29),"",X29-AD29)</f>
        <v/>
      </c>
      <c r="AK29" s="756"/>
      <c r="AL29" s="756"/>
      <c r="AM29" s="756"/>
      <c r="AN29" s="756"/>
      <c r="AO29" s="758"/>
    </row>
    <row r="30" spans="2:43" s="1" customFormat="1" ht="21.75" customHeight="1" thickBot="1">
      <c r="B30" s="838"/>
      <c r="C30" s="839"/>
      <c r="D30" s="827" t="s">
        <v>135</v>
      </c>
      <c r="E30" s="828"/>
      <c r="F30" s="828"/>
      <c r="G30" s="828"/>
      <c r="H30" s="828"/>
      <c r="I30" s="828"/>
      <c r="J30" s="828"/>
      <c r="K30" s="828"/>
      <c r="L30" s="828"/>
      <c r="M30" s="828"/>
      <c r="N30" s="829"/>
      <c r="O30" s="830"/>
      <c r="P30" s="831" t="s">
        <v>141</v>
      </c>
      <c r="Q30" s="831"/>
      <c r="R30" s="831"/>
      <c r="S30" s="831"/>
      <c r="T30" s="831"/>
      <c r="U30" s="831"/>
      <c r="V30" s="831"/>
      <c r="W30" s="832"/>
      <c r="X30" s="833"/>
      <c r="Y30" s="834" t="s">
        <v>146</v>
      </c>
      <c r="Z30" s="834"/>
      <c r="AA30" s="834"/>
      <c r="AB30" s="834"/>
      <c r="AC30" s="834"/>
      <c r="AD30" s="834"/>
      <c r="AE30" s="834"/>
      <c r="AF30" s="832"/>
      <c r="AG30" s="833"/>
      <c r="AH30" s="835" t="s">
        <v>116</v>
      </c>
      <c r="AI30" s="834"/>
      <c r="AJ30" s="834"/>
      <c r="AK30" s="836"/>
      <c r="AL30" s="836"/>
      <c r="AM30" s="836"/>
      <c r="AN30" s="836"/>
      <c r="AO30" s="837"/>
    </row>
    <row r="31" spans="2:43" s="1" customFormat="1" ht="18" customHeight="1" thickTop="1" thickBot="1">
      <c r="B31" s="840" t="s">
        <v>184</v>
      </c>
      <c r="C31" s="841"/>
      <c r="D31" s="841"/>
      <c r="E31" s="841"/>
      <c r="F31" s="841"/>
      <c r="G31" s="841"/>
      <c r="H31" s="841"/>
      <c r="I31" s="841"/>
      <c r="J31" s="841"/>
      <c r="K31" s="841"/>
      <c r="L31" s="841"/>
      <c r="M31" s="841"/>
      <c r="N31" s="841"/>
      <c r="O31" s="841"/>
      <c r="P31" s="841"/>
      <c r="Q31" s="841"/>
      <c r="R31" s="841"/>
      <c r="S31" s="841"/>
      <c r="T31" s="841"/>
      <c r="U31" s="841"/>
      <c r="V31" s="841"/>
      <c r="W31" s="841"/>
      <c r="X31" s="842">
        <f>SUM(IF(X10="",0,X10)+IF(X12="",0,X12)+IF(X15="",0,X15)+IF(X18="",0,X18)+IF(X21="",0,X21)+IF(X23="",0,X23)+IF(X25="",0,X25)+IF(X27="",0,X27)+IF(X29="",0,X29))</f>
        <v>0</v>
      </c>
      <c r="Y31" s="842"/>
      <c r="Z31" s="842"/>
      <c r="AA31" s="842"/>
      <c r="AB31" s="842"/>
      <c r="AC31" s="842"/>
      <c r="AD31" s="843">
        <f>SUM(IF(AD10="",0,AD10)+IF(AD12="",0,AD12)+IF(AD15="",0,AD15)+IF(AD18="",0,AD18)+IF(AD21="",0,AD21)+IF(AD23="",0,AD23)+IF(AD25="",0,AD25)+IF(AD27="",0,AD27)+IF(AD29="",0,AD29))</f>
        <v>0</v>
      </c>
      <c r="AE31" s="843"/>
      <c r="AF31" s="843"/>
      <c r="AG31" s="843"/>
      <c r="AH31" s="843"/>
      <c r="AI31" s="843"/>
      <c r="AJ31" s="843">
        <f>SUM(IF(AJ10="",0,AJ10)+IF(AJ12="",0,AJ12)+IF(AJ15="",0,AJ15)+IF(AJ18="",0,AJ18)+IF(AJ21="",0,AJ21)+IF(AJ23="",0,AJ23)+IF(AJ25="",0,AJ25)+IF(AJ27="",0,AJ27)+IF(AJ29="",0,AJ29))</f>
        <v>0</v>
      </c>
      <c r="AK31" s="843"/>
      <c r="AL31" s="843"/>
      <c r="AM31" s="843"/>
      <c r="AN31" s="843"/>
      <c r="AO31" s="844"/>
    </row>
    <row r="32" spans="2:43" s="1" customFormat="1" ht="3.6" customHeight="1" thickBot="1">
      <c r="B32" s="826"/>
      <c r="C32" s="826"/>
      <c r="D32" s="826"/>
      <c r="E32" s="826"/>
      <c r="F32" s="826"/>
      <c r="G32" s="826"/>
      <c r="H32" s="826"/>
      <c r="I32" s="826"/>
      <c r="J32" s="826"/>
      <c r="K32" s="826"/>
      <c r="L32" s="826"/>
      <c r="M32" s="826"/>
      <c r="N32" s="826"/>
      <c r="O32" s="826"/>
      <c r="P32" s="826"/>
      <c r="Q32" s="826"/>
      <c r="R32" s="826"/>
      <c r="S32" s="826"/>
      <c r="T32" s="826"/>
      <c r="U32" s="826"/>
      <c r="V32" s="826"/>
      <c r="W32" s="826"/>
      <c r="X32" s="826"/>
      <c r="Y32" s="826"/>
      <c r="Z32" s="826"/>
      <c r="AA32" s="826"/>
      <c r="AB32" s="826"/>
      <c r="AC32" s="826"/>
      <c r="AD32" s="826"/>
      <c r="AE32" s="826"/>
      <c r="AF32" s="826"/>
      <c r="AG32" s="826"/>
      <c r="AH32" s="826"/>
      <c r="AI32" s="826"/>
      <c r="AJ32" s="826"/>
      <c r="AK32" s="826"/>
      <c r="AL32" s="826"/>
      <c r="AM32" s="826"/>
      <c r="AN32" s="826"/>
      <c r="AO32" s="826"/>
    </row>
    <row r="33" spans="2:43" ht="21.75" customHeight="1">
      <c r="B33" s="639" t="s">
        <v>197</v>
      </c>
      <c r="C33" s="640"/>
      <c r="D33" s="640"/>
      <c r="E33" s="640"/>
      <c r="F33" s="640"/>
      <c r="G33" s="640"/>
      <c r="H33" s="640"/>
      <c r="I33" s="640"/>
      <c r="J33" s="640"/>
      <c r="K33" s="640"/>
      <c r="L33" s="640"/>
      <c r="M33" s="640"/>
      <c r="N33" s="640"/>
      <c r="O33" s="640"/>
      <c r="P33" s="640"/>
      <c r="Q33" s="640"/>
      <c r="R33" s="640"/>
      <c r="S33" s="640"/>
      <c r="T33" s="640"/>
      <c r="U33" s="640"/>
      <c r="V33" s="640"/>
      <c r="W33" s="640"/>
      <c r="X33" s="640"/>
      <c r="Y33" s="640"/>
      <c r="Z33" s="640"/>
      <c r="AA33" s="640"/>
      <c r="AB33" s="640"/>
      <c r="AC33" s="640"/>
      <c r="AD33" s="640"/>
      <c r="AE33" s="640"/>
      <c r="AF33" s="640"/>
      <c r="AG33" s="640"/>
      <c r="AH33" s="640"/>
      <c r="AI33" s="640"/>
      <c r="AJ33" s="640"/>
      <c r="AK33" s="640"/>
      <c r="AL33" s="640"/>
      <c r="AM33" s="640"/>
      <c r="AN33" s="640"/>
      <c r="AO33" s="641"/>
    </row>
    <row r="34" spans="2:43" ht="27.6" customHeight="1">
      <c r="B34" s="797" t="s">
        <v>108</v>
      </c>
      <c r="C34" s="798"/>
      <c r="D34" s="799" t="s">
        <v>109</v>
      </c>
      <c r="E34" s="799"/>
      <c r="F34" s="799"/>
      <c r="G34" s="799"/>
      <c r="H34" s="799"/>
      <c r="I34" s="799"/>
      <c r="J34" s="799"/>
      <c r="K34" s="799"/>
      <c r="L34" s="799"/>
      <c r="M34" s="799"/>
      <c r="N34" s="798" t="s">
        <v>110</v>
      </c>
      <c r="O34" s="798"/>
      <c r="P34" s="798"/>
      <c r="Q34" s="798"/>
      <c r="R34" s="798"/>
      <c r="S34" s="798"/>
      <c r="T34" s="799" t="s">
        <v>111</v>
      </c>
      <c r="U34" s="799"/>
      <c r="V34" s="799"/>
      <c r="W34" s="799"/>
      <c r="X34" s="799" t="s">
        <v>112</v>
      </c>
      <c r="Y34" s="799"/>
      <c r="Z34" s="799"/>
      <c r="AA34" s="799"/>
      <c r="AB34" s="799"/>
      <c r="AC34" s="799"/>
      <c r="AD34" s="799" t="s">
        <v>477</v>
      </c>
      <c r="AE34" s="799"/>
      <c r="AF34" s="799"/>
      <c r="AG34" s="799"/>
      <c r="AH34" s="799"/>
      <c r="AI34" s="799"/>
      <c r="AJ34" s="798" t="s">
        <v>479</v>
      </c>
      <c r="AK34" s="798"/>
      <c r="AL34" s="798"/>
      <c r="AM34" s="798"/>
      <c r="AN34" s="798"/>
      <c r="AO34" s="800"/>
    </row>
    <row r="35" spans="2:43" s="5" customFormat="1" ht="25.95" customHeight="1">
      <c r="B35" s="812"/>
      <c r="C35" s="813"/>
      <c r="D35" s="825" t="s">
        <v>66</v>
      </c>
      <c r="E35" s="825"/>
      <c r="F35" s="825"/>
      <c r="G35" s="825"/>
      <c r="H35" s="825"/>
      <c r="I35" s="825"/>
      <c r="J35" s="825"/>
      <c r="K35" s="825"/>
      <c r="L35" s="825"/>
      <c r="M35" s="825"/>
      <c r="N35" s="746">
        <f>IF(ISBLANK(T35),0,IF(D35=Measures!I30,IF('Project Information'!F12=Measures!B1,Measures!B12,IF('Project Information'!F12=Measures!C1,Measures!C12,IF('Project Information'!F12=Measures!D1,Measures!D12))),IF(D35=Measures!I31,IF('Project Information'!F12=Measures!B1,Measures!B13,IF('Project Information'!F12=Measures!C1,Measures!C13,IF('Project Information'!F12=Measures!D1,Measures!D13))))))</f>
        <v>0</v>
      </c>
      <c r="O35" s="747"/>
      <c r="P35" s="747"/>
      <c r="Q35" s="748" t="s">
        <v>147</v>
      </c>
      <c r="R35" s="748"/>
      <c r="S35" s="749"/>
      <c r="T35" s="818"/>
      <c r="U35" s="818"/>
      <c r="V35" s="818"/>
      <c r="W35" s="819"/>
      <c r="X35" s="752"/>
      <c r="Y35" s="753"/>
      <c r="Z35" s="753"/>
      <c r="AA35" s="753"/>
      <c r="AB35" s="753"/>
      <c r="AC35" s="754"/>
      <c r="AD35" s="755" t="str">
        <f>IF(ISBLANK(T35),"",N35*T35)</f>
        <v/>
      </c>
      <c r="AE35" s="756"/>
      <c r="AF35" s="756"/>
      <c r="AG35" s="756"/>
      <c r="AH35" s="756"/>
      <c r="AI35" s="757"/>
      <c r="AJ35" s="756" t="str">
        <f>IF(ISBLANK(T35),"",X35-AD35)</f>
        <v/>
      </c>
      <c r="AK35" s="756"/>
      <c r="AL35" s="756"/>
      <c r="AM35" s="756"/>
      <c r="AN35" s="756"/>
      <c r="AO35" s="758"/>
      <c r="AQ35" s="188"/>
    </row>
    <row r="36" spans="2:43" s="2" customFormat="1" ht="18" customHeight="1">
      <c r="B36" s="816"/>
      <c r="C36" s="817"/>
      <c r="D36" s="852"/>
      <c r="E36" s="853"/>
      <c r="F36" s="853"/>
      <c r="G36" s="853"/>
      <c r="H36" s="853"/>
      <c r="I36" s="853"/>
      <c r="J36" s="853"/>
      <c r="K36" s="853"/>
      <c r="L36" s="853"/>
      <c r="M36" s="853"/>
      <c r="N36" s="735" t="s">
        <v>217</v>
      </c>
      <c r="O36" s="735"/>
      <c r="P36" s="735"/>
      <c r="Q36" s="735"/>
      <c r="R36" s="850"/>
      <c r="S36" s="850"/>
      <c r="T36" s="850"/>
      <c r="U36" s="850"/>
      <c r="V36" s="850"/>
      <c r="W36" s="851"/>
      <c r="X36" s="845" t="s">
        <v>100</v>
      </c>
      <c r="Y36" s="846"/>
      <c r="Z36" s="846"/>
      <c r="AA36" s="846"/>
      <c r="AB36" s="732"/>
      <c r="AC36" s="732"/>
      <c r="AD36" s="732"/>
      <c r="AE36" s="732"/>
      <c r="AF36" s="732"/>
      <c r="AG36" s="732"/>
      <c r="AH36" s="847"/>
      <c r="AI36" s="846" t="s">
        <v>148</v>
      </c>
      <c r="AJ36" s="846"/>
      <c r="AK36" s="848"/>
      <c r="AL36" s="848"/>
      <c r="AM36" s="848"/>
      <c r="AN36" s="848"/>
      <c r="AO36" s="849"/>
      <c r="AQ36" s="190"/>
    </row>
    <row r="37" spans="2:43" s="2" customFormat="1" ht="25.95" customHeight="1">
      <c r="B37" s="812"/>
      <c r="C37" s="813"/>
      <c r="D37" s="745" t="s">
        <v>48</v>
      </c>
      <c r="E37" s="745"/>
      <c r="F37" s="745"/>
      <c r="G37" s="745"/>
      <c r="H37" s="745"/>
      <c r="I37" s="745"/>
      <c r="J37" s="745"/>
      <c r="K37" s="745"/>
      <c r="L37" s="745"/>
      <c r="M37" s="745"/>
      <c r="N37" s="746">
        <f>IF(ISBLANK(T37),0,IF('Project Information'!F12=Measures!B1,Measures!B20,IF('Project Information'!F12=Measures!C1,Measures!C20,IF('Project Information'!F12=Measures!D1,Measures!D20,0))))</f>
        <v>0</v>
      </c>
      <c r="O37" s="747"/>
      <c r="P37" s="747"/>
      <c r="Q37" s="748" t="s">
        <v>147</v>
      </c>
      <c r="R37" s="748"/>
      <c r="S37" s="749"/>
      <c r="T37" s="818"/>
      <c r="U37" s="818"/>
      <c r="V37" s="818"/>
      <c r="W37" s="819"/>
      <c r="X37" s="752"/>
      <c r="Y37" s="753"/>
      <c r="Z37" s="753"/>
      <c r="AA37" s="753"/>
      <c r="AB37" s="753"/>
      <c r="AC37" s="754"/>
      <c r="AD37" s="755" t="str">
        <f>IF(ISBLANK(T37),"",N37*T37)</f>
        <v/>
      </c>
      <c r="AE37" s="756"/>
      <c r="AF37" s="756"/>
      <c r="AG37" s="756"/>
      <c r="AH37" s="756"/>
      <c r="AI37" s="757"/>
      <c r="AJ37" s="756" t="str">
        <f>IF(ISBLANK(T37),"",X37-AD37)</f>
        <v/>
      </c>
      <c r="AK37" s="756"/>
      <c r="AL37" s="756"/>
      <c r="AM37" s="756"/>
      <c r="AN37" s="756"/>
      <c r="AO37" s="758"/>
      <c r="AQ37" s="189"/>
    </row>
    <row r="38" spans="2:43" s="2" customFormat="1" ht="18" customHeight="1">
      <c r="B38" s="816"/>
      <c r="C38" s="817"/>
      <c r="D38" s="852"/>
      <c r="E38" s="853"/>
      <c r="F38" s="853"/>
      <c r="G38" s="853"/>
      <c r="H38" s="853"/>
      <c r="I38" s="853"/>
      <c r="J38" s="853"/>
      <c r="K38" s="853"/>
      <c r="L38" s="853"/>
      <c r="M38" s="853"/>
      <c r="N38" s="735" t="s">
        <v>217</v>
      </c>
      <c r="O38" s="735"/>
      <c r="P38" s="735"/>
      <c r="Q38" s="735"/>
      <c r="R38" s="850"/>
      <c r="S38" s="850"/>
      <c r="T38" s="850"/>
      <c r="U38" s="850"/>
      <c r="V38" s="850"/>
      <c r="W38" s="851"/>
      <c r="X38" s="845" t="s">
        <v>100</v>
      </c>
      <c r="Y38" s="846"/>
      <c r="Z38" s="846"/>
      <c r="AA38" s="846"/>
      <c r="AB38" s="732"/>
      <c r="AC38" s="732"/>
      <c r="AD38" s="732"/>
      <c r="AE38" s="732"/>
      <c r="AF38" s="732"/>
      <c r="AG38" s="732"/>
      <c r="AH38" s="847"/>
      <c r="AI38" s="846" t="s">
        <v>148</v>
      </c>
      <c r="AJ38" s="846"/>
      <c r="AK38" s="848"/>
      <c r="AL38" s="848"/>
      <c r="AM38" s="848"/>
      <c r="AN38" s="848"/>
      <c r="AO38" s="849"/>
    </row>
    <row r="39" spans="2:43" s="2" customFormat="1" ht="25.95" customHeight="1">
      <c r="B39" s="812"/>
      <c r="C39" s="813"/>
      <c r="D39" s="825" t="s">
        <v>382</v>
      </c>
      <c r="E39" s="825"/>
      <c r="F39" s="825"/>
      <c r="G39" s="825"/>
      <c r="H39" s="825"/>
      <c r="I39" s="825"/>
      <c r="J39" s="825"/>
      <c r="K39" s="825"/>
      <c r="L39" s="825"/>
      <c r="M39" s="825"/>
      <c r="N39" s="746">
        <f>IF(ISBLANK(T39),0,IF(D39="Water Heater 
[Energy Star Certified]",0,IF(D39="Power Vented Water Heater 
[Energy Star Certified]",T39*X39,IF('Project Information'!F12=Measures!B1,T39*X39,IF('Project Information'!F12=Measures!C1,IFERROR(VLOOKUP(AN40,'HVAC Tier 2 Incentive Table'!A42:B44,2,TRUE),0),0)))))</f>
        <v>0</v>
      </c>
      <c r="O39" s="747"/>
      <c r="P39" s="747"/>
      <c r="Q39" s="748" t="s">
        <v>147</v>
      </c>
      <c r="R39" s="748"/>
      <c r="S39" s="749"/>
      <c r="T39" s="818"/>
      <c r="U39" s="818"/>
      <c r="V39" s="818"/>
      <c r="W39" s="819"/>
      <c r="X39" s="752"/>
      <c r="Y39" s="753"/>
      <c r="Z39" s="753"/>
      <c r="AA39" s="753"/>
      <c r="AB39" s="753"/>
      <c r="AC39" s="754"/>
      <c r="AD39" s="755" t="str">
        <f>IF(ISBLANK(T39),"",N39*T39)</f>
        <v/>
      </c>
      <c r="AE39" s="756"/>
      <c r="AF39" s="756"/>
      <c r="AG39" s="756"/>
      <c r="AH39" s="756"/>
      <c r="AI39" s="757"/>
      <c r="AJ39" s="756" t="str">
        <f>IF(ISBLANK(T39),"",X39-AD39)</f>
        <v/>
      </c>
      <c r="AK39" s="756"/>
      <c r="AL39" s="756"/>
      <c r="AM39" s="756"/>
      <c r="AN39" s="756"/>
      <c r="AO39" s="758"/>
    </row>
    <row r="40" spans="2:43" s="2" customFormat="1" ht="18" customHeight="1">
      <c r="B40" s="816"/>
      <c r="C40" s="817"/>
      <c r="D40" s="857" t="s">
        <v>217</v>
      </c>
      <c r="E40" s="795"/>
      <c r="F40" s="795"/>
      <c r="G40" s="795"/>
      <c r="H40" s="954"/>
      <c r="I40" s="954"/>
      <c r="J40" s="954"/>
      <c r="K40" s="954"/>
      <c r="L40" s="954"/>
      <c r="M40" s="955"/>
      <c r="N40" s="846" t="s">
        <v>100</v>
      </c>
      <c r="O40" s="846"/>
      <c r="P40" s="846"/>
      <c r="Q40" s="846"/>
      <c r="R40" s="846"/>
      <c r="S40" s="846"/>
      <c r="T40" s="732"/>
      <c r="U40" s="732"/>
      <c r="V40" s="732"/>
      <c r="W40" s="732"/>
      <c r="X40" s="732"/>
      <c r="Y40" s="732"/>
      <c r="Z40" s="732"/>
      <c r="AA40" s="847"/>
      <c r="AB40" s="846" t="s">
        <v>148</v>
      </c>
      <c r="AC40" s="846"/>
      <c r="AD40" s="848"/>
      <c r="AE40" s="848"/>
      <c r="AF40" s="848"/>
      <c r="AG40" s="848"/>
      <c r="AH40" s="848"/>
      <c r="AI40" s="848"/>
      <c r="AJ40" s="856"/>
      <c r="AK40" s="846" t="s">
        <v>149</v>
      </c>
      <c r="AL40" s="846"/>
      <c r="AM40" s="846"/>
      <c r="AN40" s="741"/>
      <c r="AO40" s="860"/>
    </row>
    <row r="41" spans="2:43" s="2" customFormat="1" ht="25.95" customHeight="1">
      <c r="B41" s="812"/>
      <c r="C41" s="813"/>
      <c r="D41" s="745" t="s">
        <v>153</v>
      </c>
      <c r="E41" s="745"/>
      <c r="F41" s="745"/>
      <c r="G41" s="745"/>
      <c r="H41" s="745"/>
      <c r="I41" s="745"/>
      <c r="J41" s="745"/>
      <c r="K41" s="745"/>
      <c r="L41" s="745"/>
      <c r="M41" s="745"/>
      <c r="N41" s="746">
        <f>IF(ISBLANK(T41),0,IF('Project Information'!F12=Measures!B1,X41/T41,IF('Project Information'!F12=Measures!C1,IFERROR(VLOOKUP(AH42,'HVAC Tier 2 Incentive Table'!A46:B48,2,TRUE),0),0)))</f>
        <v>0</v>
      </c>
      <c r="O41" s="747"/>
      <c r="P41" s="747"/>
      <c r="Q41" s="748" t="s">
        <v>147</v>
      </c>
      <c r="R41" s="748"/>
      <c r="S41" s="749"/>
      <c r="T41" s="818"/>
      <c r="U41" s="818"/>
      <c r="V41" s="818"/>
      <c r="W41" s="819"/>
      <c r="X41" s="752"/>
      <c r="Y41" s="753"/>
      <c r="Z41" s="753"/>
      <c r="AA41" s="753"/>
      <c r="AB41" s="753"/>
      <c r="AC41" s="754"/>
      <c r="AD41" s="755" t="str">
        <f>IF(ISBLANK(T41),"",N41*T41)</f>
        <v/>
      </c>
      <c r="AE41" s="756"/>
      <c r="AF41" s="756"/>
      <c r="AG41" s="756"/>
      <c r="AH41" s="756"/>
      <c r="AI41" s="757"/>
      <c r="AJ41" s="756" t="str">
        <f>IF(ISBLANK(T41),"",X41-AD41)</f>
        <v/>
      </c>
      <c r="AK41" s="756"/>
      <c r="AL41" s="756"/>
      <c r="AM41" s="756"/>
      <c r="AN41" s="756"/>
      <c r="AO41" s="758"/>
    </row>
    <row r="42" spans="2:43" s="2" customFormat="1" ht="18" customHeight="1">
      <c r="B42" s="816"/>
      <c r="C42" s="817"/>
      <c r="D42" s="794" t="s">
        <v>217</v>
      </c>
      <c r="E42" s="790"/>
      <c r="F42" s="790"/>
      <c r="G42" s="790"/>
      <c r="H42" s="850"/>
      <c r="I42" s="850"/>
      <c r="J42" s="850"/>
      <c r="K42" s="851"/>
      <c r="L42" s="795" t="s">
        <v>100</v>
      </c>
      <c r="M42" s="795"/>
      <c r="N42" s="795"/>
      <c r="O42" s="795"/>
      <c r="P42" s="732"/>
      <c r="Q42" s="732"/>
      <c r="R42" s="732"/>
      <c r="S42" s="732"/>
      <c r="T42" s="847"/>
      <c r="U42" s="855" t="s">
        <v>148</v>
      </c>
      <c r="V42" s="855"/>
      <c r="W42" s="732"/>
      <c r="X42" s="732"/>
      <c r="Y42" s="732"/>
      <c r="Z42" s="732"/>
      <c r="AA42" s="847"/>
      <c r="AB42" s="854" t="s">
        <v>99</v>
      </c>
      <c r="AC42" s="854"/>
      <c r="AD42" s="854"/>
      <c r="AE42" s="854"/>
      <c r="AF42" s="854"/>
      <c r="AG42" s="854"/>
      <c r="AH42" s="741"/>
      <c r="AI42" s="741"/>
      <c r="AJ42" s="742"/>
      <c r="AK42" s="846" t="s">
        <v>154</v>
      </c>
      <c r="AL42" s="846"/>
      <c r="AM42" s="846"/>
      <c r="AN42" s="858"/>
      <c r="AO42" s="859"/>
      <c r="AP42" s="239"/>
      <c r="AQ42" s="239"/>
    </row>
    <row r="43" spans="2:43" s="2" customFormat="1" ht="25.95" customHeight="1">
      <c r="B43" s="812"/>
      <c r="C43" s="813"/>
      <c r="D43" s="825" t="s">
        <v>59</v>
      </c>
      <c r="E43" s="825"/>
      <c r="F43" s="825"/>
      <c r="G43" s="825"/>
      <c r="H43" s="825"/>
      <c r="I43" s="825"/>
      <c r="J43" s="825"/>
      <c r="K43" s="825"/>
      <c r="L43" s="825"/>
      <c r="M43" s="825"/>
      <c r="N43" s="746">
        <f>IF(ISBLANK(T43),0,IF(T43=1,IF('Project Information'!F12=Measures!B1,X43,IF('Project Information'!F12=Measures!C1,IFERROR(VLOOKUP(AI44,_xlfn.IFS(D43="Natural Gas Furnace [95% AFUE]",'HVAC Tier 2 Incentive Table'!A3:B7,D43="Natural Gas Boiler [90% AFUE]",'HVAC Tier 2 Incentive Table'!A10:B15,D43="Emergency Furnace",'HVAC Tier 2 Incentive Table'!A17:B22),2,TRUE),0),0))))</f>
        <v>0</v>
      </c>
      <c r="O43" s="747"/>
      <c r="P43" s="747"/>
      <c r="Q43" s="748" t="s">
        <v>147</v>
      </c>
      <c r="R43" s="748"/>
      <c r="S43" s="749"/>
      <c r="T43" s="818"/>
      <c r="U43" s="818"/>
      <c r="V43" s="818"/>
      <c r="W43" s="819"/>
      <c r="X43" s="752"/>
      <c r="Y43" s="753"/>
      <c r="Z43" s="753"/>
      <c r="AA43" s="753"/>
      <c r="AB43" s="753"/>
      <c r="AC43" s="754"/>
      <c r="AD43" s="755" t="str">
        <f>IF(ISBLANK(T43),"",N43*T43)</f>
        <v/>
      </c>
      <c r="AE43" s="756"/>
      <c r="AF43" s="756"/>
      <c r="AG43" s="756"/>
      <c r="AH43" s="756"/>
      <c r="AI43" s="757"/>
      <c r="AJ43" s="756" t="str">
        <f>IF(ISBLANK(T43),"",X43-AD43)</f>
        <v/>
      </c>
      <c r="AK43" s="756"/>
      <c r="AL43" s="756"/>
      <c r="AM43" s="756"/>
      <c r="AN43" s="756"/>
      <c r="AO43" s="758"/>
      <c r="AP43" s="239"/>
      <c r="AQ43" s="239"/>
    </row>
    <row r="44" spans="2:43" s="2" customFormat="1" ht="21.75" customHeight="1">
      <c r="B44" s="816"/>
      <c r="C44" s="865"/>
      <c r="D44" s="734" t="s">
        <v>100</v>
      </c>
      <c r="E44" s="735"/>
      <c r="F44" s="735"/>
      <c r="G44" s="735"/>
      <c r="H44" s="850"/>
      <c r="I44" s="850"/>
      <c r="J44" s="850"/>
      <c r="K44" s="850"/>
      <c r="L44" s="850"/>
      <c r="M44" s="851"/>
      <c r="N44" s="857" t="s">
        <v>148</v>
      </c>
      <c r="O44" s="795"/>
      <c r="P44" s="850"/>
      <c r="Q44" s="850"/>
      <c r="R44" s="850"/>
      <c r="S44" s="850"/>
      <c r="T44" s="850"/>
      <c r="U44" s="851"/>
      <c r="V44" s="795" t="s">
        <v>158</v>
      </c>
      <c r="W44" s="795"/>
      <c r="X44" s="867"/>
      <c r="Y44" s="867"/>
      <c r="Z44" s="867"/>
      <c r="AA44" s="868"/>
      <c r="AB44" s="857" t="s">
        <v>159</v>
      </c>
      <c r="AC44" s="795"/>
      <c r="AD44" s="858"/>
      <c r="AE44" s="866"/>
      <c r="AF44" s="804" t="s">
        <v>160</v>
      </c>
      <c r="AG44" s="804"/>
      <c r="AH44" s="804"/>
      <c r="AI44" s="741"/>
      <c r="AJ44" s="861"/>
      <c r="AK44" s="862"/>
      <c r="AL44" s="863" t="s">
        <v>161</v>
      </c>
      <c r="AM44" s="864"/>
      <c r="AN44" s="864"/>
      <c r="AO44" s="244"/>
      <c r="AP44" s="240"/>
      <c r="AQ44" s="240"/>
    </row>
    <row r="45" spans="2:43" s="2" customFormat="1" ht="25.95" customHeight="1">
      <c r="B45" s="812"/>
      <c r="C45" s="813"/>
      <c r="D45" s="825" t="s">
        <v>64</v>
      </c>
      <c r="E45" s="825"/>
      <c r="F45" s="825"/>
      <c r="G45" s="825"/>
      <c r="H45" s="825"/>
      <c r="I45" s="825"/>
      <c r="J45" s="825"/>
      <c r="K45" s="825"/>
      <c r="L45" s="825"/>
      <c r="M45" s="825"/>
      <c r="N45" s="746">
        <f>IF(ISBLANK(T45),0,IF(T45=1,IF('Project Information'!F12=Measures!B1,X45,IF('Project Information'!F12=Measures!C1,IFERROR(VLOOKUP(AI46,_xlfn.IFS(D45="Natural Gas Furnace [95% AFUE]",'HVAC Tier 2 Incentive Table'!A3:B7,D45="Natural Gas Boiler [90% AFUE]",'HVAC Tier 2 Incentive Table'!A10:B15,D45="Emergency Furnace",'HVAC Tier 2 Incentive Table'!A17:B22),2,TRUE),0),0))))</f>
        <v>0</v>
      </c>
      <c r="O45" s="747"/>
      <c r="P45" s="747"/>
      <c r="Q45" s="748" t="s">
        <v>147</v>
      </c>
      <c r="R45" s="748"/>
      <c r="S45" s="749"/>
      <c r="T45" s="818"/>
      <c r="U45" s="818"/>
      <c r="V45" s="818"/>
      <c r="W45" s="819"/>
      <c r="X45" s="752"/>
      <c r="Y45" s="753"/>
      <c r="Z45" s="753"/>
      <c r="AA45" s="753"/>
      <c r="AB45" s="753"/>
      <c r="AC45" s="754"/>
      <c r="AD45" s="755" t="str">
        <f>IF(ISBLANK(T45),"",N45*T45)</f>
        <v/>
      </c>
      <c r="AE45" s="756"/>
      <c r="AF45" s="756"/>
      <c r="AG45" s="756"/>
      <c r="AH45" s="756"/>
      <c r="AI45" s="757"/>
      <c r="AJ45" s="756" t="str">
        <f>IF(ISBLANK(T45),"",X45-AD45)</f>
        <v/>
      </c>
      <c r="AK45" s="756"/>
      <c r="AL45" s="756"/>
      <c r="AM45" s="756"/>
      <c r="AN45" s="756"/>
      <c r="AO45" s="758"/>
      <c r="AP45" s="239"/>
      <c r="AQ45" s="239"/>
    </row>
    <row r="46" spans="2:43" s="2" customFormat="1" ht="21.75" customHeight="1">
      <c r="B46" s="816"/>
      <c r="C46" s="865"/>
      <c r="D46" s="734" t="s">
        <v>100</v>
      </c>
      <c r="E46" s="735"/>
      <c r="F46" s="735"/>
      <c r="G46" s="735"/>
      <c r="H46" s="850"/>
      <c r="I46" s="850"/>
      <c r="J46" s="850"/>
      <c r="K46" s="850"/>
      <c r="L46" s="850"/>
      <c r="M46" s="851"/>
      <c r="N46" s="857" t="s">
        <v>148</v>
      </c>
      <c r="O46" s="795"/>
      <c r="P46" s="850"/>
      <c r="Q46" s="850"/>
      <c r="R46" s="850"/>
      <c r="S46" s="850"/>
      <c r="T46" s="850"/>
      <c r="U46" s="851"/>
      <c r="V46" s="795" t="s">
        <v>158</v>
      </c>
      <c r="W46" s="795"/>
      <c r="X46" s="867"/>
      <c r="Y46" s="867"/>
      <c r="Z46" s="867"/>
      <c r="AA46" s="868"/>
      <c r="AB46" s="857" t="s">
        <v>159</v>
      </c>
      <c r="AC46" s="795"/>
      <c r="AD46" s="858"/>
      <c r="AE46" s="866"/>
      <c r="AF46" s="804" t="s">
        <v>160</v>
      </c>
      <c r="AG46" s="804"/>
      <c r="AH46" s="804"/>
      <c r="AI46" s="741"/>
      <c r="AJ46" s="861"/>
      <c r="AK46" s="862"/>
      <c r="AL46" s="863" t="s">
        <v>161</v>
      </c>
      <c r="AM46" s="864"/>
      <c r="AN46" s="864"/>
      <c r="AO46" s="244"/>
      <c r="AP46" s="239"/>
      <c r="AQ46" s="239"/>
    </row>
    <row r="47" spans="2:43" s="2" customFormat="1" ht="25.95" customHeight="1">
      <c r="B47" s="812"/>
      <c r="C47" s="813"/>
      <c r="D47" s="825" t="s">
        <v>68</v>
      </c>
      <c r="E47" s="825"/>
      <c r="F47" s="825"/>
      <c r="G47" s="825"/>
      <c r="H47" s="825"/>
      <c r="I47" s="825"/>
      <c r="J47" s="825"/>
      <c r="K47" s="825"/>
      <c r="L47" s="825"/>
      <c r="M47" s="825"/>
      <c r="N47" s="869">
        <f>IF(ISBLANK(T47),0,IF(T47=1,IF('Project Information'!F12=Measures!B1,X47,IF('Project Information'!F12=Measures!C1,IFERROR(VLOOKUP(J49,_xlfn.IFS(D47="Central AC 
[SEER2 15.2/EER2 11.88 or greater]",'HVAC Tier 2 Incentive Table'!A24:B31,D47="Air Source Heat Pump 
[SEER2 15.2/HSPF2 8.1 or greater]",'HVAC Tier 2 Incentive Table'!A33:B40),2,TRUE),0),0))))</f>
        <v>0</v>
      </c>
      <c r="O47" s="870"/>
      <c r="P47" s="870"/>
      <c r="Q47" s="748" t="s">
        <v>147</v>
      </c>
      <c r="R47" s="748"/>
      <c r="S47" s="749"/>
      <c r="T47" s="818"/>
      <c r="U47" s="818"/>
      <c r="V47" s="818"/>
      <c r="W47" s="819"/>
      <c r="X47" s="752"/>
      <c r="Y47" s="753"/>
      <c r="Z47" s="753"/>
      <c r="AA47" s="753"/>
      <c r="AB47" s="753"/>
      <c r="AC47" s="754"/>
      <c r="AD47" s="755" t="str">
        <f>IF(ISBLANK(T47),"",N47*T47)</f>
        <v/>
      </c>
      <c r="AE47" s="756"/>
      <c r="AF47" s="756"/>
      <c r="AG47" s="756"/>
      <c r="AH47" s="756"/>
      <c r="AI47" s="757"/>
      <c r="AJ47" s="756" t="str">
        <f>IF(ISBLANK(T47),"",X47-AD47)</f>
        <v/>
      </c>
      <c r="AK47" s="756"/>
      <c r="AL47" s="756"/>
      <c r="AM47" s="756"/>
      <c r="AN47" s="756"/>
      <c r="AO47" s="758"/>
      <c r="AP47" s="239"/>
      <c r="AQ47" s="239"/>
    </row>
    <row r="48" spans="2:43" s="2" customFormat="1" ht="18" customHeight="1">
      <c r="B48" s="814"/>
      <c r="C48" s="815"/>
      <c r="D48" s="734" t="s">
        <v>100</v>
      </c>
      <c r="E48" s="735"/>
      <c r="F48" s="735"/>
      <c r="G48" s="735"/>
      <c r="H48" s="850"/>
      <c r="I48" s="850"/>
      <c r="J48" s="850"/>
      <c r="K48" s="850"/>
      <c r="L48" s="850"/>
      <c r="M48" s="851"/>
      <c r="N48" s="857" t="s">
        <v>148</v>
      </c>
      <c r="O48" s="795"/>
      <c r="P48" s="850"/>
      <c r="Q48" s="850"/>
      <c r="R48" s="850"/>
      <c r="S48" s="850"/>
      <c r="T48" s="850"/>
      <c r="U48" s="851"/>
      <c r="V48" s="795" t="s">
        <v>158</v>
      </c>
      <c r="W48" s="795"/>
      <c r="X48" s="867"/>
      <c r="Y48" s="867"/>
      <c r="Z48" s="867"/>
      <c r="AA48" s="868"/>
      <c r="AB48" s="857" t="s">
        <v>163</v>
      </c>
      <c r="AC48" s="795"/>
      <c r="AD48" s="858"/>
      <c r="AE48" s="858"/>
      <c r="AF48" s="866"/>
      <c r="AG48" s="803" t="s">
        <v>164</v>
      </c>
      <c r="AH48" s="804"/>
      <c r="AI48" s="943"/>
      <c r="AJ48" s="943"/>
      <c r="AK48" s="944"/>
      <c r="AL48" s="945" t="s">
        <v>165</v>
      </c>
      <c r="AM48" s="945"/>
      <c r="AN48" s="943"/>
      <c r="AO48" s="946"/>
      <c r="AP48" s="239"/>
      <c r="AQ48" s="239"/>
    </row>
    <row r="49" spans="2:43" s="2" customFormat="1" ht="18" customHeight="1">
      <c r="B49" s="816"/>
      <c r="C49" s="817"/>
      <c r="D49" s="947" t="s">
        <v>99</v>
      </c>
      <c r="E49" s="947"/>
      <c r="F49" s="947"/>
      <c r="G49" s="947"/>
      <c r="H49" s="947"/>
      <c r="I49" s="947"/>
      <c r="J49" s="741"/>
      <c r="K49" s="741"/>
      <c r="L49" s="741"/>
      <c r="M49" s="741"/>
      <c r="N49" s="741"/>
      <c r="O49" s="742"/>
      <c r="P49" s="948" t="s">
        <v>167</v>
      </c>
      <c r="Q49" s="949"/>
      <c r="R49" s="949"/>
      <c r="S49" s="949"/>
      <c r="T49" s="949"/>
      <c r="U49" s="949"/>
      <c r="V49" s="949"/>
      <c r="W49" s="949"/>
      <c r="X49" s="950"/>
      <c r="Y49" s="950"/>
      <c r="Z49" s="950"/>
      <c r="AA49" s="950"/>
      <c r="AB49" s="950"/>
      <c r="AC49" s="951"/>
      <c r="AD49" s="952" t="s">
        <v>166</v>
      </c>
      <c r="AE49" s="952"/>
      <c r="AF49" s="952"/>
      <c r="AG49" s="952"/>
      <c r="AH49" s="952"/>
      <c r="AI49" s="952"/>
      <c r="AJ49" s="952"/>
      <c r="AK49" s="952"/>
      <c r="AL49" s="950"/>
      <c r="AM49" s="950"/>
      <c r="AN49" s="950"/>
      <c r="AO49" s="953"/>
      <c r="AP49" s="241"/>
      <c r="AQ49" s="241"/>
    </row>
    <row r="50" spans="2:43" s="2" customFormat="1" ht="25.95" customHeight="1">
      <c r="B50" s="812"/>
      <c r="C50" s="813"/>
      <c r="D50" s="825" t="s">
        <v>73</v>
      </c>
      <c r="E50" s="825"/>
      <c r="F50" s="825"/>
      <c r="G50" s="825"/>
      <c r="H50" s="825"/>
      <c r="I50" s="825"/>
      <c r="J50" s="825"/>
      <c r="K50" s="825"/>
      <c r="L50" s="825"/>
      <c r="M50" s="825"/>
      <c r="N50" s="869">
        <f>IF(ISBLANK(T50),0,IF(T50=1,IF('Project Information'!F12=Measures!B1,X50,IF('Project Information'!F12=Measures!C1,IFERROR(VLOOKUP(J52,_xlfn.IFS(D50="Central AC 
[SEER2 15.2/EER2 11.88 or greater]",'HVAC Tier 2 Incentive Table'!A24:B31,D50="Air Source Heat Pump 
[SEER2 15.2/HSPF2 8.1 or greater]",'HVAC Tier 2 Incentive Table'!A33:B40),2,TRUE),0),0))))</f>
        <v>0</v>
      </c>
      <c r="O50" s="870"/>
      <c r="P50" s="870"/>
      <c r="Q50" s="748" t="s">
        <v>147</v>
      </c>
      <c r="R50" s="748"/>
      <c r="S50" s="749"/>
      <c r="T50" s="818"/>
      <c r="U50" s="818"/>
      <c r="V50" s="818"/>
      <c r="W50" s="819"/>
      <c r="X50" s="752"/>
      <c r="Y50" s="753"/>
      <c r="Z50" s="753"/>
      <c r="AA50" s="753"/>
      <c r="AB50" s="753"/>
      <c r="AC50" s="754"/>
      <c r="AD50" s="755" t="str">
        <f>IF(ISBLANK(T50),"",N50*T50)</f>
        <v/>
      </c>
      <c r="AE50" s="756"/>
      <c r="AF50" s="756"/>
      <c r="AG50" s="756"/>
      <c r="AH50" s="756"/>
      <c r="AI50" s="757"/>
      <c r="AJ50" s="756" t="str">
        <f>IF(ISBLANK(T50),"",X50-AD50)</f>
        <v/>
      </c>
      <c r="AK50" s="756"/>
      <c r="AL50" s="756"/>
      <c r="AM50" s="756"/>
      <c r="AN50" s="756"/>
      <c r="AO50" s="758"/>
    </row>
    <row r="51" spans="2:43" s="2" customFormat="1" ht="18" customHeight="1">
      <c r="B51" s="814"/>
      <c r="C51" s="815"/>
      <c r="D51" s="734" t="s">
        <v>100</v>
      </c>
      <c r="E51" s="735"/>
      <c r="F51" s="735"/>
      <c r="G51" s="735"/>
      <c r="H51" s="850"/>
      <c r="I51" s="850"/>
      <c r="J51" s="850"/>
      <c r="K51" s="850"/>
      <c r="L51" s="850"/>
      <c r="M51" s="851"/>
      <c r="N51" s="857" t="s">
        <v>148</v>
      </c>
      <c r="O51" s="795"/>
      <c r="P51" s="850"/>
      <c r="Q51" s="850"/>
      <c r="R51" s="850"/>
      <c r="S51" s="850"/>
      <c r="T51" s="850"/>
      <c r="U51" s="851"/>
      <c r="V51" s="795" t="s">
        <v>158</v>
      </c>
      <c r="W51" s="795"/>
      <c r="X51" s="867"/>
      <c r="Y51" s="867"/>
      <c r="Z51" s="867"/>
      <c r="AA51" s="868"/>
      <c r="AB51" s="857" t="s">
        <v>163</v>
      </c>
      <c r="AC51" s="795"/>
      <c r="AD51" s="858"/>
      <c r="AE51" s="858"/>
      <c r="AF51" s="866"/>
      <c r="AG51" s="803" t="s">
        <v>164</v>
      </c>
      <c r="AH51" s="804"/>
      <c r="AI51" s="943"/>
      <c r="AJ51" s="943"/>
      <c r="AK51" s="944"/>
      <c r="AL51" s="945" t="s">
        <v>165</v>
      </c>
      <c r="AM51" s="945"/>
      <c r="AN51" s="943"/>
      <c r="AO51" s="946"/>
    </row>
    <row r="52" spans="2:43" s="2" customFormat="1" ht="18" customHeight="1" thickBot="1">
      <c r="B52" s="838"/>
      <c r="C52" s="839"/>
      <c r="D52" s="871" t="s">
        <v>99</v>
      </c>
      <c r="E52" s="871"/>
      <c r="F52" s="871"/>
      <c r="G52" s="871"/>
      <c r="H52" s="871"/>
      <c r="I52" s="871"/>
      <c r="J52" s="872"/>
      <c r="K52" s="872"/>
      <c r="L52" s="872"/>
      <c r="M52" s="872"/>
      <c r="N52" s="872"/>
      <c r="O52" s="873"/>
      <c r="P52" s="874" t="s">
        <v>167</v>
      </c>
      <c r="Q52" s="875"/>
      <c r="R52" s="875"/>
      <c r="S52" s="875"/>
      <c r="T52" s="875"/>
      <c r="U52" s="875"/>
      <c r="V52" s="875"/>
      <c r="W52" s="875"/>
      <c r="X52" s="876"/>
      <c r="Y52" s="876"/>
      <c r="Z52" s="876"/>
      <c r="AA52" s="876"/>
      <c r="AB52" s="876"/>
      <c r="AC52" s="877"/>
      <c r="AD52" s="878" t="s">
        <v>166</v>
      </c>
      <c r="AE52" s="878"/>
      <c r="AF52" s="878"/>
      <c r="AG52" s="878"/>
      <c r="AH52" s="878"/>
      <c r="AI52" s="878"/>
      <c r="AJ52" s="878"/>
      <c r="AK52" s="878"/>
      <c r="AL52" s="876"/>
      <c r="AM52" s="876"/>
      <c r="AN52" s="876"/>
      <c r="AO52" s="879"/>
    </row>
    <row r="53" spans="2:43" s="2" customFormat="1" ht="18" customHeight="1" thickTop="1" thickBot="1">
      <c r="B53" s="840" t="s">
        <v>185</v>
      </c>
      <c r="C53" s="841"/>
      <c r="D53" s="841"/>
      <c r="E53" s="841"/>
      <c r="F53" s="841"/>
      <c r="G53" s="841"/>
      <c r="H53" s="841"/>
      <c r="I53" s="841"/>
      <c r="J53" s="841"/>
      <c r="K53" s="841"/>
      <c r="L53" s="841"/>
      <c r="M53" s="841"/>
      <c r="N53" s="841"/>
      <c r="O53" s="841"/>
      <c r="P53" s="841"/>
      <c r="Q53" s="841"/>
      <c r="R53" s="841"/>
      <c r="S53" s="841"/>
      <c r="T53" s="841"/>
      <c r="U53" s="841"/>
      <c r="V53" s="841"/>
      <c r="W53" s="841"/>
      <c r="X53" s="842">
        <f>X35+X37+X39+X41+X43+X45+X47+X50</f>
        <v>0</v>
      </c>
      <c r="Y53" s="842"/>
      <c r="Z53" s="842"/>
      <c r="AA53" s="842"/>
      <c r="AB53" s="842"/>
      <c r="AC53" s="842"/>
      <c r="AD53" s="843">
        <f>SUM(IF(AD35="",0,AD35)+IF(AD37="",0,AD37)+IF(AD39="",0,AD39)+IF(AD41="",0,AD41)+IF(AD43="",0,AD43)+IF(AD45="",0,AD45)+IF(AD47="",0,AD47)+IF(AD50="",0,AD50))</f>
        <v>0</v>
      </c>
      <c r="AE53" s="843"/>
      <c r="AF53" s="843"/>
      <c r="AG53" s="843"/>
      <c r="AH53" s="843"/>
      <c r="AI53" s="843"/>
      <c r="AJ53" s="843">
        <f>SUM(IF(AJ35="",0,AJ35)+IF(AJ37="",0,AJ37)+IF(AJ39="",0,AJ39)+IF(AJ41="",0,AJ41)+IF(AJ43="",0,AJ43)+IF(AJ45="",0,AJ45)+IF(AJ47="",0,AJ47)+IF(AJ50="",0,AJ50))</f>
        <v>0</v>
      </c>
      <c r="AK53" s="843"/>
      <c r="AL53" s="843"/>
      <c r="AM53" s="843"/>
      <c r="AN53" s="843"/>
      <c r="AO53" s="844"/>
    </row>
    <row r="54" spans="2:43" s="2" customFormat="1" ht="3.6" customHeight="1" thickBot="1">
      <c r="B54" s="882"/>
      <c r="C54" s="882"/>
      <c r="D54" s="882"/>
      <c r="E54" s="882"/>
      <c r="F54" s="882"/>
      <c r="G54" s="882"/>
      <c r="H54" s="882"/>
      <c r="I54" s="882"/>
      <c r="J54" s="882"/>
      <c r="K54" s="882"/>
      <c r="L54" s="882"/>
      <c r="M54" s="882"/>
      <c r="N54" s="882"/>
      <c r="O54" s="882"/>
      <c r="P54" s="882"/>
      <c r="Q54" s="882"/>
      <c r="R54" s="882"/>
      <c r="S54" s="882"/>
      <c r="T54" s="882"/>
      <c r="U54" s="882"/>
      <c r="V54" s="882"/>
      <c r="W54" s="882"/>
      <c r="X54" s="882"/>
      <c r="Y54" s="882"/>
      <c r="Z54" s="882"/>
      <c r="AA54" s="882"/>
      <c r="AB54" s="882"/>
      <c r="AC54" s="882"/>
      <c r="AD54" s="882"/>
      <c r="AE54" s="882"/>
      <c r="AF54" s="882"/>
      <c r="AG54" s="882"/>
      <c r="AH54" s="882"/>
      <c r="AI54" s="882"/>
      <c r="AJ54" s="882"/>
      <c r="AK54" s="882"/>
      <c r="AL54" s="882"/>
      <c r="AM54" s="882"/>
      <c r="AN54" s="882"/>
      <c r="AO54" s="882"/>
    </row>
    <row r="55" spans="2:43" ht="21.75" customHeight="1">
      <c r="B55" s="639" t="s">
        <v>198</v>
      </c>
      <c r="C55" s="640"/>
      <c r="D55" s="640"/>
      <c r="E55" s="640"/>
      <c r="F55" s="640"/>
      <c r="G55" s="640"/>
      <c r="H55" s="640"/>
      <c r="I55" s="640"/>
      <c r="J55" s="640"/>
      <c r="K55" s="640"/>
      <c r="L55" s="640"/>
      <c r="M55" s="640"/>
      <c r="N55" s="640"/>
      <c r="O55" s="640"/>
      <c r="P55" s="640"/>
      <c r="Q55" s="640"/>
      <c r="R55" s="640"/>
      <c r="S55" s="640"/>
      <c r="T55" s="640"/>
      <c r="U55" s="640"/>
      <c r="V55" s="640"/>
      <c r="W55" s="640"/>
      <c r="X55" s="640"/>
      <c r="Y55" s="640"/>
      <c r="Z55" s="640"/>
      <c r="AA55" s="640"/>
      <c r="AB55" s="640"/>
      <c r="AC55" s="640"/>
      <c r="AD55" s="640"/>
      <c r="AE55" s="640"/>
      <c r="AF55" s="640"/>
      <c r="AG55" s="640"/>
      <c r="AH55" s="640"/>
      <c r="AI55" s="640"/>
      <c r="AJ55" s="640"/>
      <c r="AK55" s="640"/>
      <c r="AL55" s="640"/>
      <c r="AM55" s="640"/>
      <c r="AN55" s="640"/>
      <c r="AO55" s="641"/>
    </row>
    <row r="56" spans="2:43" ht="30" customHeight="1">
      <c r="B56" s="880" t="s">
        <v>108</v>
      </c>
      <c r="C56" s="881"/>
      <c r="D56" s="888" t="s">
        <v>174</v>
      </c>
      <c r="E56" s="886"/>
      <c r="F56" s="886"/>
      <c r="G56" s="886"/>
      <c r="H56" s="886"/>
      <c r="I56" s="886"/>
      <c r="J56" s="886"/>
      <c r="K56" s="886"/>
      <c r="L56" s="886"/>
      <c r="M56" s="886"/>
      <c r="N56" s="886"/>
      <c r="O56" s="886"/>
      <c r="P56" s="886"/>
      <c r="Q56" s="886"/>
      <c r="R56" s="886"/>
      <c r="S56" s="886"/>
      <c r="T56" s="886"/>
      <c r="U56" s="886"/>
      <c r="V56" s="886"/>
      <c r="W56" s="886"/>
      <c r="X56" s="886"/>
      <c r="Y56" s="886"/>
      <c r="Z56" s="886"/>
      <c r="AA56" s="887"/>
      <c r="AB56" s="888" t="s">
        <v>478</v>
      </c>
      <c r="AC56" s="887"/>
      <c r="AD56" s="888" t="s">
        <v>112</v>
      </c>
      <c r="AE56" s="886"/>
      <c r="AF56" s="886"/>
      <c r="AG56" s="887"/>
      <c r="AH56" s="886" t="s">
        <v>477</v>
      </c>
      <c r="AI56" s="886"/>
      <c r="AJ56" s="886"/>
      <c r="AK56" s="887"/>
      <c r="AL56" s="883" t="s">
        <v>479</v>
      </c>
      <c r="AM56" s="884"/>
      <c r="AN56" s="884"/>
      <c r="AO56" s="885"/>
    </row>
    <row r="57" spans="2:43" ht="16.05" customHeight="1">
      <c r="B57" s="768"/>
      <c r="C57" s="769"/>
      <c r="D57" s="770"/>
      <c r="E57" s="771"/>
      <c r="F57" s="771"/>
      <c r="G57" s="771"/>
      <c r="H57" s="771"/>
      <c r="I57" s="771"/>
      <c r="J57" s="771"/>
      <c r="K57" s="771"/>
      <c r="L57" s="771"/>
      <c r="M57" s="771"/>
      <c r="N57" s="771"/>
      <c r="O57" s="771"/>
      <c r="P57" s="771"/>
      <c r="Q57" s="771"/>
      <c r="R57" s="771"/>
      <c r="S57" s="771"/>
      <c r="T57" s="771"/>
      <c r="U57" s="771"/>
      <c r="V57" s="771"/>
      <c r="W57" s="771"/>
      <c r="X57" s="771"/>
      <c r="Y57" s="771"/>
      <c r="Z57" s="771"/>
      <c r="AA57" s="772"/>
      <c r="AB57" s="773"/>
      <c r="AC57" s="774"/>
      <c r="AD57" s="775"/>
      <c r="AE57" s="775"/>
      <c r="AF57" s="775"/>
      <c r="AG57" s="776"/>
      <c r="AH57" s="760" t="str">
        <f>IF(ISBLANK(AD57),"",IF('Project Information'!$F$12=Measures!$B$1,'Work Scope'!AD57,IF('Project Information'!$F$12=Measures!$C$1,'Work Scope'!AD57*0.9,0)))</f>
        <v/>
      </c>
      <c r="AI57" s="760"/>
      <c r="AJ57" s="760"/>
      <c r="AK57" s="761"/>
      <c r="AL57" s="760" t="str">
        <f t="shared" ref="AL57:AL65" si="0">IF(ISBLANK(AD57),"",AD57-AH57)</f>
        <v/>
      </c>
      <c r="AM57" s="760"/>
      <c r="AN57" s="760"/>
      <c r="AO57" s="777"/>
    </row>
    <row r="58" spans="2:43" ht="16.05" customHeight="1">
      <c r="B58" s="768"/>
      <c r="C58" s="769"/>
      <c r="D58" s="770"/>
      <c r="E58" s="771"/>
      <c r="F58" s="771"/>
      <c r="G58" s="771"/>
      <c r="H58" s="771"/>
      <c r="I58" s="771"/>
      <c r="J58" s="771"/>
      <c r="K58" s="771"/>
      <c r="L58" s="771"/>
      <c r="M58" s="771"/>
      <c r="N58" s="771"/>
      <c r="O58" s="771"/>
      <c r="P58" s="771"/>
      <c r="Q58" s="771"/>
      <c r="R58" s="771"/>
      <c r="S58" s="771"/>
      <c r="T58" s="771"/>
      <c r="U58" s="771"/>
      <c r="V58" s="771"/>
      <c r="W58" s="771"/>
      <c r="X58" s="771"/>
      <c r="Y58" s="771"/>
      <c r="Z58" s="771"/>
      <c r="AA58" s="772"/>
      <c r="AB58" s="773"/>
      <c r="AC58" s="774"/>
      <c r="AD58" s="775"/>
      <c r="AE58" s="775"/>
      <c r="AF58" s="775"/>
      <c r="AG58" s="776"/>
      <c r="AH58" s="760" t="str">
        <f>IF(ISBLANK(AD58),"",IF('Project Information'!$F$12=Measures!$B$1,'Work Scope'!AD58,IF('Project Information'!$F$12=Measures!$C$1,'Work Scope'!AD58*0.9,0)))</f>
        <v/>
      </c>
      <c r="AI58" s="760"/>
      <c r="AJ58" s="760"/>
      <c r="AK58" s="761"/>
      <c r="AL58" s="760" t="str">
        <f t="shared" si="0"/>
        <v/>
      </c>
      <c r="AM58" s="760"/>
      <c r="AN58" s="760"/>
      <c r="AO58" s="777"/>
    </row>
    <row r="59" spans="2:43" ht="16.05" customHeight="1">
      <c r="B59" s="768"/>
      <c r="C59" s="769"/>
      <c r="D59" s="770"/>
      <c r="E59" s="771"/>
      <c r="F59" s="771"/>
      <c r="G59" s="771"/>
      <c r="H59" s="771"/>
      <c r="I59" s="771"/>
      <c r="J59" s="771"/>
      <c r="K59" s="771"/>
      <c r="L59" s="771"/>
      <c r="M59" s="771"/>
      <c r="N59" s="771"/>
      <c r="O59" s="771"/>
      <c r="P59" s="771"/>
      <c r="Q59" s="771"/>
      <c r="R59" s="771"/>
      <c r="S59" s="771"/>
      <c r="T59" s="771"/>
      <c r="U59" s="771"/>
      <c r="V59" s="771"/>
      <c r="W59" s="771"/>
      <c r="X59" s="771"/>
      <c r="Y59" s="771"/>
      <c r="Z59" s="771"/>
      <c r="AA59" s="772"/>
      <c r="AB59" s="773"/>
      <c r="AC59" s="774"/>
      <c r="AD59" s="775"/>
      <c r="AE59" s="775"/>
      <c r="AF59" s="775"/>
      <c r="AG59" s="776"/>
      <c r="AH59" s="760" t="str">
        <f>IF(ISBLANK(AD59),"",IF('Project Information'!$F$12=Measures!$B$1,'Work Scope'!AD59,IF('Project Information'!$F$12=Measures!$C$1,'Work Scope'!AD59*0.9,0)))</f>
        <v/>
      </c>
      <c r="AI59" s="760"/>
      <c r="AJ59" s="760"/>
      <c r="AK59" s="761"/>
      <c r="AL59" s="760" t="str">
        <f t="shared" si="0"/>
        <v/>
      </c>
      <c r="AM59" s="760"/>
      <c r="AN59" s="760"/>
      <c r="AO59" s="777"/>
    </row>
    <row r="60" spans="2:43" ht="16.05" customHeight="1">
      <c r="B60" s="768"/>
      <c r="C60" s="769"/>
      <c r="D60" s="770"/>
      <c r="E60" s="771"/>
      <c r="F60" s="771"/>
      <c r="G60" s="771"/>
      <c r="H60" s="771"/>
      <c r="I60" s="771"/>
      <c r="J60" s="771"/>
      <c r="K60" s="771"/>
      <c r="L60" s="771"/>
      <c r="M60" s="771"/>
      <c r="N60" s="771"/>
      <c r="O60" s="771"/>
      <c r="P60" s="771"/>
      <c r="Q60" s="771"/>
      <c r="R60" s="771"/>
      <c r="S60" s="771"/>
      <c r="T60" s="771"/>
      <c r="U60" s="771"/>
      <c r="V60" s="771"/>
      <c r="W60" s="771"/>
      <c r="X60" s="771"/>
      <c r="Y60" s="771"/>
      <c r="Z60" s="771"/>
      <c r="AA60" s="772"/>
      <c r="AB60" s="773"/>
      <c r="AC60" s="774"/>
      <c r="AD60" s="775"/>
      <c r="AE60" s="775"/>
      <c r="AF60" s="775"/>
      <c r="AG60" s="776"/>
      <c r="AH60" s="760" t="str">
        <f>IF(ISBLANK(AD60),"",IF('Project Information'!$F$12=Measures!$B$1,'Work Scope'!AD60,IF('Project Information'!$F$12=Measures!$C$1,'Work Scope'!AD60*0.9,0)))</f>
        <v/>
      </c>
      <c r="AI60" s="760"/>
      <c r="AJ60" s="760"/>
      <c r="AK60" s="761"/>
      <c r="AL60" s="760" t="str">
        <f t="shared" si="0"/>
        <v/>
      </c>
      <c r="AM60" s="760"/>
      <c r="AN60" s="760"/>
      <c r="AO60" s="777"/>
    </row>
    <row r="61" spans="2:43" ht="16.05" customHeight="1">
      <c r="B61" s="768"/>
      <c r="C61" s="769"/>
      <c r="D61" s="770"/>
      <c r="E61" s="771"/>
      <c r="F61" s="771"/>
      <c r="G61" s="771"/>
      <c r="H61" s="771"/>
      <c r="I61" s="771"/>
      <c r="J61" s="771"/>
      <c r="K61" s="771"/>
      <c r="L61" s="771"/>
      <c r="M61" s="771"/>
      <c r="N61" s="771"/>
      <c r="O61" s="771"/>
      <c r="P61" s="771"/>
      <c r="Q61" s="771"/>
      <c r="R61" s="771"/>
      <c r="S61" s="771"/>
      <c r="T61" s="771"/>
      <c r="U61" s="771"/>
      <c r="V61" s="771"/>
      <c r="W61" s="771"/>
      <c r="X61" s="771"/>
      <c r="Y61" s="771"/>
      <c r="Z61" s="771"/>
      <c r="AA61" s="772"/>
      <c r="AB61" s="773"/>
      <c r="AC61" s="774"/>
      <c r="AD61" s="775"/>
      <c r="AE61" s="775"/>
      <c r="AF61" s="775"/>
      <c r="AG61" s="776"/>
      <c r="AH61" s="760" t="str">
        <f>IF(ISBLANK(AD61),"",IF('Project Information'!$F$12=Measures!$B$1,'Work Scope'!AD61,IF('Project Information'!$F$12=Measures!$C$1,'Work Scope'!AD61*0.9,0)))</f>
        <v/>
      </c>
      <c r="AI61" s="760"/>
      <c r="AJ61" s="760"/>
      <c r="AK61" s="761"/>
      <c r="AL61" s="760" t="str">
        <f t="shared" si="0"/>
        <v/>
      </c>
      <c r="AM61" s="760"/>
      <c r="AN61" s="760"/>
      <c r="AO61" s="777"/>
    </row>
    <row r="62" spans="2:43" ht="16.05" customHeight="1">
      <c r="B62" s="768"/>
      <c r="C62" s="769"/>
      <c r="D62" s="770"/>
      <c r="E62" s="771"/>
      <c r="F62" s="771"/>
      <c r="G62" s="771"/>
      <c r="H62" s="771"/>
      <c r="I62" s="771"/>
      <c r="J62" s="771"/>
      <c r="K62" s="771"/>
      <c r="L62" s="771"/>
      <c r="M62" s="771"/>
      <c r="N62" s="771"/>
      <c r="O62" s="771"/>
      <c r="P62" s="771"/>
      <c r="Q62" s="771"/>
      <c r="R62" s="771"/>
      <c r="S62" s="771"/>
      <c r="T62" s="771"/>
      <c r="U62" s="771"/>
      <c r="V62" s="771"/>
      <c r="W62" s="771"/>
      <c r="X62" s="771"/>
      <c r="Y62" s="771"/>
      <c r="Z62" s="771"/>
      <c r="AA62" s="772"/>
      <c r="AB62" s="773"/>
      <c r="AC62" s="774"/>
      <c r="AD62" s="775"/>
      <c r="AE62" s="775"/>
      <c r="AF62" s="775"/>
      <c r="AG62" s="776"/>
      <c r="AH62" s="760" t="str">
        <f>IF(ISBLANK(AD62),"",IF('Project Information'!$F$12=Measures!$B$1,'Work Scope'!AD62,IF('Project Information'!$F$12=Measures!$C$1,'Work Scope'!AD62*0.9,0)))</f>
        <v/>
      </c>
      <c r="AI62" s="760"/>
      <c r="AJ62" s="760"/>
      <c r="AK62" s="761"/>
      <c r="AL62" s="760" t="str">
        <f t="shared" si="0"/>
        <v/>
      </c>
      <c r="AM62" s="760"/>
      <c r="AN62" s="760"/>
      <c r="AO62" s="777"/>
    </row>
    <row r="63" spans="2:43" ht="16.05" customHeight="1">
      <c r="B63" s="768"/>
      <c r="C63" s="769"/>
      <c r="D63" s="770"/>
      <c r="E63" s="771"/>
      <c r="F63" s="771"/>
      <c r="G63" s="771"/>
      <c r="H63" s="771"/>
      <c r="I63" s="771"/>
      <c r="J63" s="771"/>
      <c r="K63" s="771"/>
      <c r="L63" s="771"/>
      <c r="M63" s="771"/>
      <c r="N63" s="771"/>
      <c r="O63" s="771"/>
      <c r="P63" s="771"/>
      <c r="Q63" s="771"/>
      <c r="R63" s="771"/>
      <c r="S63" s="771"/>
      <c r="T63" s="771"/>
      <c r="U63" s="771"/>
      <c r="V63" s="771"/>
      <c r="W63" s="771"/>
      <c r="X63" s="771"/>
      <c r="Y63" s="771"/>
      <c r="Z63" s="771"/>
      <c r="AA63" s="772"/>
      <c r="AB63" s="773"/>
      <c r="AC63" s="774"/>
      <c r="AD63" s="775"/>
      <c r="AE63" s="775"/>
      <c r="AF63" s="775"/>
      <c r="AG63" s="776"/>
      <c r="AH63" s="760" t="str">
        <f>IF(ISBLANK(AD63),"",IF('Project Information'!$F$12=Measures!$B$1,'Work Scope'!AD63,IF('Project Information'!$F$12=Measures!$C$1,'Work Scope'!AD63*0.9,0)))</f>
        <v/>
      </c>
      <c r="AI63" s="760"/>
      <c r="AJ63" s="760"/>
      <c r="AK63" s="761"/>
      <c r="AL63" s="760" t="str">
        <f t="shared" si="0"/>
        <v/>
      </c>
      <c r="AM63" s="760"/>
      <c r="AN63" s="760"/>
      <c r="AO63" s="777"/>
    </row>
    <row r="64" spans="2:43" ht="16.05" customHeight="1">
      <c r="B64" s="768"/>
      <c r="C64" s="769"/>
      <c r="D64" s="770"/>
      <c r="E64" s="771"/>
      <c r="F64" s="771"/>
      <c r="G64" s="771"/>
      <c r="H64" s="771"/>
      <c r="I64" s="771"/>
      <c r="J64" s="771"/>
      <c r="K64" s="771"/>
      <c r="L64" s="771"/>
      <c r="M64" s="771"/>
      <c r="N64" s="771"/>
      <c r="O64" s="771"/>
      <c r="P64" s="771"/>
      <c r="Q64" s="771"/>
      <c r="R64" s="771"/>
      <c r="S64" s="771"/>
      <c r="T64" s="771"/>
      <c r="U64" s="771"/>
      <c r="V64" s="771"/>
      <c r="W64" s="771"/>
      <c r="X64" s="771"/>
      <c r="Y64" s="771"/>
      <c r="Z64" s="771"/>
      <c r="AA64" s="772"/>
      <c r="AB64" s="773"/>
      <c r="AC64" s="774"/>
      <c r="AD64" s="775"/>
      <c r="AE64" s="775"/>
      <c r="AF64" s="775"/>
      <c r="AG64" s="776"/>
      <c r="AH64" s="760" t="str">
        <f>IF(ISBLANK(AD64),"",IF('Project Information'!$F$12=Measures!$B$1,'Work Scope'!AD64,IF('Project Information'!$F$12=Measures!$C$1,'Work Scope'!AD64*0.9,0)))</f>
        <v/>
      </c>
      <c r="AI64" s="760"/>
      <c r="AJ64" s="760"/>
      <c r="AK64" s="761"/>
      <c r="AL64" s="760" t="str">
        <f t="shared" si="0"/>
        <v/>
      </c>
      <c r="AM64" s="760"/>
      <c r="AN64" s="760"/>
      <c r="AO64" s="777"/>
    </row>
    <row r="65" spans="2:41" ht="16.05" customHeight="1" thickBot="1">
      <c r="B65" s="783"/>
      <c r="C65" s="784"/>
      <c r="D65" s="956"/>
      <c r="E65" s="957"/>
      <c r="F65" s="957"/>
      <c r="G65" s="957"/>
      <c r="H65" s="957"/>
      <c r="I65" s="957"/>
      <c r="J65" s="957"/>
      <c r="K65" s="957"/>
      <c r="L65" s="957"/>
      <c r="M65" s="957"/>
      <c r="N65" s="957"/>
      <c r="O65" s="957"/>
      <c r="P65" s="957"/>
      <c r="Q65" s="957"/>
      <c r="R65" s="957"/>
      <c r="S65" s="957"/>
      <c r="T65" s="957"/>
      <c r="U65" s="957"/>
      <c r="V65" s="957"/>
      <c r="W65" s="957"/>
      <c r="X65" s="957"/>
      <c r="Y65" s="957"/>
      <c r="Z65" s="957"/>
      <c r="AA65" s="958"/>
      <c r="AB65" s="959"/>
      <c r="AC65" s="960"/>
      <c r="AD65" s="961"/>
      <c r="AE65" s="961"/>
      <c r="AF65" s="961"/>
      <c r="AG65" s="962"/>
      <c r="AH65" s="963" t="str">
        <f>IF(ISBLANK(AD65),"",IF('Project Information'!$F$12=Measures!$B$1,'Work Scope'!AD65,IF('Project Information'!$F$12=Measures!$C$1,'Work Scope'!AD65*0.9,0)))</f>
        <v/>
      </c>
      <c r="AI65" s="963"/>
      <c r="AJ65" s="963"/>
      <c r="AK65" s="964"/>
      <c r="AL65" s="963" t="str">
        <f t="shared" si="0"/>
        <v/>
      </c>
      <c r="AM65" s="963"/>
      <c r="AN65" s="963"/>
      <c r="AO65" s="965"/>
    </row>
    <row r="66" spans="2:41" ht="18" customHeight="1" thickTop="1" thickBot="1">
      <c r="B66" s="966" t="s">
        <v>481</v>
      </c>
      <c r="C66" s="967"/>
      <c r="D66" s="967"/>
      <c r="E66" s="967"/>
      <c r="F66" s="967"/>
      <c r="G66" s="967"/>
      <c r="H66" s="967"/>
      <c r="I66" s="967"/>
      <c r="J66" s="967"/>
      <c r="K66" s="967"/>
      <c r="L66" s="967"/>
      <c r="M66" s="967"/>
      <c r="N66" s="967"/>
      <c r="O66" s="967"/>
      <c r="P66" s="967"/>
      <c r="Q66" s="967"/>
      <c r="R66" s="967"/>
      <c r="S66" s="967"/>
      <c r="T66" s="967"/>
      <c r="U66" s="967"/>
      <c r="V66" s="967"/>
      <c r="W66" s="967"/>
      <c r="X66" s="967"/>
      <c r="Y66" s="967"/>
      <c r="Z66" s="967"/>
      <c r="AA66" s="967"/>
      <c r="AB66" s="967"/>
      <c r="AC66" s="968"/>
      <c r="AD66" s="969">
        <f>SUM(AD57:AG65)</f>
        <v>0</v>
      </c>
      <c r="AE66" s="969"/>
      <c r="AF66" s="969"/>
      <c r="AG66" s="970"/>
      <c r="AH66" s="971">
        <f>SUM(AH57:AK65)</f>
        <v>0</v>
      </c>
      <c r="AI66" s="971"/>
      <c r="AJ66" s="971"/>
      <c r="AK66" s="972"/>
      <c r="AL66" s="973">
        <f>SUM(AL57:AO65)</f>
        <v>0</v>
      </c>
      <c r="AM66" s="973"/>
      <c r="AN66" s="973"/>
      <c r="AO66" s="974"/>
    </row>
    <row r="67" spans="2:41" ht="3.6" customHeight="1" thickBot="1">
      <c r="B67" s="762"/>
      <c r="C67" s="762"/>
      <c r="D67" s="762"/>
      <c r="E67" s="762"/>
      <c r="F67" s="762"/>
      <c r="G67" s="762"/>
      <c r="H67" s="762"/>
      <c r="I67" s="762"/>
      <c r="J67" s="762"/>
      <c r="K67" s="762"/>
      <c r="L67" s="762"/>
      <c r="M67" s="762"/>
      <c r="N67" s="762"/>
      <c r="O67" s="762"/>
      <c r="P67" s="762"/>
      <c r="Q67" s="762"/>
      <c r="R67" s="762"/>
      <c r="S67" s="762"/>
      <c r="T67" s="762"/>
      <c r="U67" s="762"/>
      <c r="V67" s="762"/>
      <c r="W67" s="762"/>
      <c r="X67" s="762"/>
      <c r="Y67" s="762"/>
      <c r="Z67" s="762"/>
      <c r="AA67" s="762"/>
      <c r="AB67" s="762"/>
      <c r="AC67" s="762"/>
      <c r="AD67" s="762"/>
      <c r="AE67" s="762"/>
      <c r="AF67" s="762"/>
      <c r="AG67" s="762"/>
      <c r="AH67" s="762"/>
      <c r="AI67" s="762"/>
      <c r="AJ67" s="762"/>
      <c r="AK67" s="762"/>
      <c r="AL67" s="762"/>
      <c r="AM67" s="762"/>
      <c r="AN67" s="762"/>
      <c r="AO67" s="762"/>
    </row>
    <row r="68" spans="2:41" ht="16.05" customHeight="1">
      <c r="B68" s="639" t="s">
        <v>386</v>
      </c>
      <c r="C68" s="640"/>
      <c r="D68" s="640"/>
      <c r="E68" s="640"/>
      <c r="F68" s="640"/>
      <c r="G68" s="640"/>
      <c r="H68" s="640"/>
      <c r="I68" s="640"/>
      <c r="J68" s="640"/>
      <c r="K68" s="640"/>
      <c r="L68" s="640"/>
      <c r="M68" s="640"/>
      <c r="N68" s="640"/>
      <c r="O68" s="640"/>
      <c r="P68" s="640"/>
      <c r="Q68" s="640"/>
      <c r="R68" s="640"/>
      <c r="S68" s="640"/>
      <c r="T68" s="640"/>
      <c r="U68" s="640"/>
      <c r="V68" s="640"/>
      <c r="W68" s="640"/>
      <c r="X68" s="640"/>
      <c r="Y68" s="640"/>
      <c r="Z68" s="640"/>
      <c r="AA68" s="640"/>
      <c r="AB68" s="640"/>
      <c r="AC68" s="640"/>
      <c r="AD68" s="640"/>
      <c r="AE68" s="640"/>
      <c r="AF68" s="640"/>
      <c r="AG68" s="640"/>
      <c r="AH68" s="640"/>
      <c r="AI68" s="640"/>
      <c r="AJ68" s="640"/>
      <c r="AK68" s="640"/>
      <c r="AL68" s="640"/>
      <c r="AM68" s="640"/>
      <c r="AN68" s="640"/>
      <c r="AO68" s="641"/>
    </row>
    <row r="69" spans="2:41" ht="30" customHeight="1">
      <c r="B69" s="880" t="s">
        <v>108</v>
      </c>
      <c r="C69" s="881"/>
      <c r="D69" s="888" t="s">
        <v>174</v>
      </c>
      <c r="E69" s="886"/>
      <c r="F69" s="886"/>
      <c r="G69" s="886"/>
      <c r="H69" s="886"/>
      <c r="I69" s="886"/>
      <c r="J69" s="886"/>
      <c r="K69" s="886"/>
      <c r="L69" s="886"/>
      <c r="M69" s="886"/>
      <c r="N69" s="886"/>
      <c r="O69" s="886"/>
      <c r="P69" s="886"/>
      <c r="Q69" s="886"/>
      <c r="R69" s="886"/>
      <c r="S69" s="886"/>
      <c r="T69" s="886"/>
      <c r="U69" s="886"/>
      <c r="V69" s="886"/>
      <c r="W69" s="886"/>
      <c r="X69" s="886"/>
      <c r="Y69" s="886"/>
      <c r="Z69" s="886"/>
      <c r="AA69" s="887"/>
      <c r="AB69" s="888" t="s">
        <v>478</v>
      </c>
      <c r="AC69" s="887"/>
      <c r="AD69" s="888" t="s">
        <v>112</v>
      </c>
      <c r="AE69" s="886"/>
      <c r="AF69" s="886"/>
      <c r="AG69" s="887"/>
      <c r="AH69" s="886" t="s">
        <v>477</v>
      </c>
      <c r="AI69" s="886"/>
      <c r="AJ69" s="886"/>
      <c r="AK69" s="887"/>
      <c r="AL69" s="883" t="s">
        <v>479</v>
      </c>
      <c r="AM69" s="884"/>
      <c r="AN69" s="884"/>
      <c r="AO69" s="885"/>
    </row>
    <row r="70" spans="2:41" ht="16.05" customHeight="1">
      <c r="B70" s="768"/>
      <c r="C70" s="769"/>
      <c r="D70" s="770"/>
      <c r="E70" s="771"/>
      <c r="F70" s="771"/>
      <c r="G70" s="771"/>
      <c r="H70" s="771"/>
      <c r="I70" s="771"/>
      <c r="J70" s="771"/>
      <c r="K70" s="771"/>
      <c r="L70" s="771"/>
      <c r="M70" s="771"/>
      <c r="N70" s="771"/>
      <c r="O70" s="771"/>
      <c r="P70" s="771"/>
      <c r="Q70" s="771"/>
      <c r="R70" s="771"/>
      <c r="S70" s="771"/>
      <c r="T70" s="771"/>
      <c r="U70" s="771"/>
      <c r="V70" s="771"/>
      <c r="W70" s="771"/>
      <c r="X70" s="771"/>
      <c r="Y70" s="771"/>
      <c r="Z70" s="771"/>
      <c r="AA70" s="772"/>
      <c r="AB70" s="773"/>
      <c r="AC70" s="774"/>
      <c r="AD70" s="775"/>
      <c r="AE70" s="775"/>
      <c r="AF70" s="775"/>
      <c r="AG70" s="776"/>
      <c r="AH70" s="760" t="str">
        <f>IF(ISBLANK(AD70),"",AD70)</f>
        <v/>
      </c>
      <c r="AI70" s="760"/>
      <c r="AJ70" s="760"/>
      <c r="AK70" s="761"/>
      <c r="AL70" s="760" t="str">
        <f t="shared" ref="AL70:AL78" si="1">IF(ISBLANK(AD70),"",AD70-AH70)</f>
        <v/>
      </c>
      <c r="AM70" s="760"/>
      <c r="AN70" s="760"/>
      <c r="AO70" s="777"/>
    </row>
    <row r="71" spans="2:41" ht="16.05" customHeight="1">
      <c r="B71" s="768"/>
      <c r="C71" s="769"/>
      <c r="D71" s="770"/>
      <c r="E71" s="771"/>
      <c r="F71" s="771"/>
      <c r="G71" s="771"/>
      <c r="H71" s="771"/>
      <c r="I71" s="771"/>
      <c r="J71" s="771"/>
      <c r="K71" s="771"/>
      <c r="L71" s="771"/>
      <c r="M71" s="771"/>
      <c r="N71" s="771"/>
      <c r="O71" s="771"/>
      <c r="P71" s="771"/>
      <c r="Q71" s="771"/>
      <c r="R71" s="771"/>
      <c r="S71" s="771"/>
      <c r="T71" s="771"/>
      <c r="U71" s="771"/>
      <c r="V71" s="771"/>
      <c r="W71" s="771"/>
      <c r="X71" s="771"/>
      <c r="Y71" s="771"/>
      <c r="Z71" s="771"/>
      <c r="AA71" s="772"/>
      <c r="AB71" s="773"/>
      <c r="AC71" s="774"/>
      <c r="AD71" s="775"/>
      <c r="AE71" s="775"/>
      <c r="AF71" s="775"/>
      <c r="AG71" s="776"/>
      <c r="AH71" s="760" t="str">
        <f t="shared" ref="AH71:AH78" si="2">IF(ISBLANK(AD71),"",AD71)</f>
        <v/>
      </c>
      <c r="AI71" s="760"/>
      <c r="AJ71" s="760"/>
      <c r="AK71" s="761"/>
      <c r="AL71" s="760" t="str">
        <f t="shared" si="1"/>
        <v/>
      </c>
      <c r="AM71" s="760"/>
      <c r="AN71" s="760"/>
      <c r="AO71" s="777"/>
    </row>
    <row r="72" spans="2:41" ht="16.05" customHeight="1">
      <c r="B72" s="768"/>
      <c r="C72" s="769"/>
      <c r="D72" s="770"/>
      <c r="E72" s="771"/>
      <c r="F72" s="771"/>
      <c r="G72" s="771"/>
      <c r="H72" s="771"/>
      <c r="I72" s="771"/>
      <c r="J72" s="771"/>
      <c r="K72" s="771"/>
      <c r="L72" s="771"/>
      <c r="M72" s="771"/>
      <c r="N72" s="771"/>
      <c r="O72" s="771"/>
      <c r="P72" s="771"/>
      <c r="Q72" s="771"/>
      <c r="R72" s="771"/>
      <c r="S72" s="771"/>
      <c r="T72" s="771"/>
      <c r="U72" s="771"/>
      <c r="V72" s="771"/>
      <c r="W72" s="771"/>
      <c r="X72" s="771"/>
      <c r="Y72" s="771"/>
      <c r="Z72" s="771"/>
      <c r="AA72" s="772"/>
      <c r="AB72" s="773"/>
      <c r="AC72" s="774"/>
      <c r="AD72" s="775"/>
      <c r="AE72" s="775"/>
      <c r="AF72" s="775"/>
      <c r="AG72" s="776"/>
      <c r="AH72" s="760" t="str">
        <f t="shared" si="2"/>
        <v/>
      </c>
      <c r="AI72" s="760"/>
      <c r="AJ72" s="760"/>
      <c r="AK72" s="761"/>
      <c r="AL72" s="760" t="str">
        <f t="shared" si="1"/>
        <v/>
      </c>
      <c r="AM72" s="760"/>
      <c r="AN72" s="760"/>
      <c r="AO72" s="777"/>
    </row>
    <row r="73" spans="2:41" ht="16.05" customHeight="1">
      <c r="B73" s="768"/>
      <c r="C73" s="769"/>
      <c r="D73" s="770"/>
      <c r="E73" s="771"/>
      <c r="F73" s="771"/>
      <c r="G73" s="771"/>
      <c r="H73" s="771"/>
      <c r="I73" s="771"/>
      <c r="J73" s="771"/>
      <c r="K73" s="771"/>
      <c r="L73" s="771"/>
      <c r="M73" s="771"/>
      <c r="N73" s="771"/>
      <c r="O73" s="771"/>
      <c r="P73" s="771"/>
      <c r="Q73" s="771"/>
      <c r="R73" s="771"/>
      <c r="S73" s="771"/>
      <c r="T73" s="771"/>
      <c r="U73" s="771"/>
      <c r="V73" s="771"/>
      <c r="W73" s="771"/>
      <c r="X73" s="771"/>
      <c r="Y73" s="771"/>
      <c r="Z73" s="771"/>
      <c r="AA73" s="772"/>
      <c r="AB73" s="773"/>
      <c r="AC73" s="774"/>
      <c r="AD73" s="775"/>
      <c r="AE73" s="775"/>
      <c r="AF73" s="775"/>
      <c r="AG73" s="776"/>
      <c r="AH73" s="760" t="str">
        <f t="shared" si="2"/>
        <v/>
      </c>
      <c r="AI73" s="760"/>
      <c r="AJ73" s="760"/>
      <c r="AK73" s="761"/>
      <c r="AL73" s="760" t="str">
        <f t="shared" si="1"/>
        <v/>
      </c>
      <c r="AM73" s="760"/>
      <c r="AN73" s="760"/>
      <c r="AO73" s="777"/>
    </row>
    <row r="74" spans="2:41" ht="16.05" customHeight="1">
      <c r="B74" s="768"/>
      <c r="C74" s="769"/>
      <c r="D74" s="770"/>
      <c r="E74" s="771"/>
      <c r="F74" s="771"/>
      <c r="G74" s="771"/>
      <c r="H74" s="771"/>
      <c r="I74" s="771"/>
      <c r="J74" s="771"/>
      <c r="K74" s="771"/>
      <c r="L74" s="771"/>
      <c r="M74" s="771"/>
      <c r="N74" s="771"/>
      <c r="O74" s="771"/>
      <c r="P74" s="771"/>
      <c r="Q74" s="771"/>
      <c r="R74" s="771"/>
      <c r="S74" s="771"/>
      <c r="T74" s="771"/>
      <c r="U74" s="771"/>
      <c r="V74" s="771"/>
      <c r="W74" s="771"/>
      <c r="X74" s="771"/>
      <c r="Y74" s="771"/>
      <c r="Z74" s="771"/>
      <c r="AA74" s="772"/>
      <c r="AB74" s="773"/>
      <c r="AC74" s="774"/>
      <c r="AD74" s="775"/>
      <c r="AE74" s="775"/>
      <c r="AF74" s="775"/>
      <c r="AG74" s="776"/>
      <c r="AH74" s="760" t="str">
        <f t="shared" si="2"/>
        <v/>
      </c>
      <c r="AI74" s="760"/>
      <c r="AJ74" s="760"/>
      <c r="AK74" s="761"/>
      <c r="AL74" s="760" t="str">
        <f t="shared" si="1"/>
        <v/>
      </c>
      <c r="AM74" s="760"/>
      <c r="AN74" s="760"/>
      <c r="AO74" s="777"/>
    </row>
    <row r="75" spans="2:41" ht="16.05" customHeight="1">
      <c r="B75" s="768"/>
      <c r="C75" s="769"/>
      <c r="D75" s="770"/>
      <c r="E75" s="771"/>
      <c r="F75" s="771"/>
      <c r="G75" s="771"/>
      <c r="H75" s="771"/>
      <c r="I75" s="771"/>
      <c r="J75" s="771"/>
      <c r="K75" s="771"/>
      <c r="L75" s="771"/>
      <c r="M75" s="771"/>
      <c r="N75" s="771"/>
      <c r="O75" s="771"/>
      <c r="P75" s="771"/>
      <c r="Q75" s="771"/>
      <c r="R75" s="771"/>
      <c r="S75" s="771"/>
      <c r="T75" s="771"/>
      <c r="U75" s="771"/>
      <c r="V75" s="771"/>
      <c r="W75" s="771"/>
      <c r="X75" s="771"/>
      <c r="Y75" s="771"/>
      <c r="Z75" s="771"/>
      <c r="AA75" s="772"/>
      <c r="AB75" s="773"/>
      <c r="AC75" s="774"/>
      <c r="AD75" s="775"/>
      <c r="AE75" s="775"/>
      <c r="AF75" s="775"/>
      <c r="AG75" s="776"/>
      <c r="AH75" s="760" t="str">
        <f t="shared" si="2"/>
        <v/>
      </c>
      <c r="AI75" s="760"/>
      <c r="AJ75" s="760"/>
      <c r="AK75" s="761"/>
      <c r="AL75" s="760" t="str">
        <f t="shared" si="1"/>
        <v/>
      </c>
      <c r="AM75" s="760"/>
      <c r="AN75" s="760"/>
      <c r="AO75" s="777"/>
    </row>
    <row r="76" spans="2:41" ht="16.05" customHeight="1">
      <c r="B76" s="768"/>
      <c r="C76" s="769"/>
      <c r="D76" s="770"/>
      <c r="E76" s="771"/>
      <c r="F76" s="771"/>
      <c r="G76" s="771"/>
      <c r="H76" s="771"/>
      <c r="I76" s="771"/>
      <c r="J76" s="771"/>
      <c r="K76" s="771"/>
      <c r="L76" s="771"/>
      <c r="M76" s="771"/>
      <c r="N76" s="771"/>
      <c r="O76" s="771"/>
      <c r="P76" s="771"/>
      <c r="Q76" s="771"/>
      <c r="R76" s="771"/>
      <c r="S76" s="771"/>
      <c r="T76" s="771"/>
      <c r="U76" s="771"/>
      <c r="V76" s="771"/>
      <c r="W76" s="771"/>
      <c r="X76" s="771"/>
      <c r="Y76" s="771"/>
      <c r="Z76" s="771"/>
      <c r="AA76" s="772"/>
      <c r="AB76" s="773"/>
      <c r="AC76" s="774"/>
      <c r="AD76" s="775"/>
      <c r="AE76" s="775"/>
      <c r="AF76" s="775"/>
      <c r="AG76" s="776"/>
      <c r="AH76" s="760" t="str">
        <f t="shared" si="2"/>
        <v/>
      </c>
      <c r="AI76" s="760"/>
      <c r="AJ76" s="760"/>
      <c r="AK76" s="761"/>
      <c r="AL76" s="760" t="str">
        <f t="shared" si="1"/>
        <v/>
      </c>
      <c r="AM76" s="760"/>
      <c r="AN76" s="760"/>
      <c r="AO76" s="777"/>
    </row>
    <row r="77" spans="2:41" ht="16.05" customHeight="1">
      <c r="B77" s="768"/>
      <c r="C77" s="769"/>
      <c r="D77" s="770"/>
      <c r="E77" s="771"/>
      <c r="F77" s="771"/>
      <c r="G77" s="771"/>
      <c r="H77" s="771"/>
      <c r="I77" s="771"/>
      <c r="J77" s="771"/>
      <c r="K77" s="771"/>
      <c r="L77" s="771"/>
      <c r="M77" s="771"/>
      <c r="N77" s="771"/>
      <c r="O77" s="771"/>
      <c r="P77" s="771"/>
      <c r="Q77" s="771"/>
      <c r="R77" s="771"/>
      <c r="S77" s="771"/>
      <c r="T77" s="771"/>
      <c r="U77" s="771"/>
      <c r="V77" s="771"/>
      <c r="W77" s="771"/>
      <c r="X77" s="771"/>
      <c r="Y77" s="771"/>
      <c r="Z77" s="771"/>
      <c r="AA77" s="772"/>
      <c r="AB77" s="773"/>
      <c r="AC77" s="774"/>
      <c r="AD77" s="775"/>
      <c r="AE77" s="775"/>
      <c r="AF77" s="775"/>
      <c r="AG77" s="776"/>
      <c r="AH77" s="760" t="str">
        <f t="shared" si="2"/>
        <v/>
      </c>
      <c r="AI77" s="760"/>
      <c r="AJ77" s="760"/>
      <c r="AK77" s="761"/>
      <c r="AL77" s="760" t="str">
        <f t="shared" si="1"/>
        <v/>
      </c>
      <c r="AM77" s="760"/>
      <c r="AN77" s="760"/>
      <c r="AO77" s="777"/>
    </row>
    <row r="78" spans="2:41" ht="16.05" customHeight="1" thickBot="1">
      <c r="B78" s="783"/>
      <c r="C78" s="784"/>
      <c r="D78" s="956"/>
      <c r="E78" s="957"/>
      <c r="F78" s="957"/>
      <c r="G78" s="957"/>
      <c r="H78" s="957"/>
      <c r="I78" s="957"/>
      <c r="J78" s="957"/>
      <c r="K78" s="957"/>
      <c r="L78" s="957"/>
      <c r="M78" s="957"/>
      <c r="N78" s="957"/>
      <c r="O78" s="957"/>
      <c r="P78" s="957"/>
      <c r="Q78" s="957"/>
      <c r="R78" s="957"/>
      <c r="S78" s="957"/>
      <c r="T78" s="957"/>
      <c r="U78" s="957"/>
      <c r="V78" s="957"/>
      <c r="W78" s="957"/>
      <c r="X78" s="957"/>
      <c r="Y78" s="957"/>
      <c r="Z78" s="957"/>
      <c r="AA78" s="958"/>
      <c r="AB78" s="959"/>
      <c r="AC78" s="960"/>
      <c r="AD78" s="961"/>
      <c r="AE78" s="961"/>
      <c r="AF78" s="961"/>
      <c r="AG78" s="962"/>
      <c r="AH78" s="760" t="str">
        <f t="shared" si="2"/>
        <v/>
      </c>
      <c r="AI78" s="760"/>
      <c r="AJ78" s="760"/>
      <c r="AK78" s="761"/>
      <c r="AL78" s="963" t="str">
        <f t="shared" si="1"/>
        <v/>
      </c>
      <c r="AM78" s="963"/>
      <c r="AN78" s="963"/>
      <c r="AO78" s="965"/>
    </row>
    <row r="79" spans="2:41" ht="16.05" customHeight="1" thickTop="1" thickBot="1">
      <c r="B79" s="966" t="s">
        <v>480</v>
      </c>
      <c r="C79" s="967"/>
      <c r="D79" s="967"/>
      <c r="E79" s="967"/>
      <c r="F79" s="967"/>
      <c r="G79" s="967"/>
      <c r="H79" s="967"/>
      <c r="I79" s="967"/>
      <c r="J79" s="967"/>
      <c r="K79" s="967"/>
      <c r="L79" s="967"/>
      <c r="M79" s="967"/>
      <c r="N79" s="967"/>
      <c r="O79" s="967"/>
      <c r="P79" s="967"/>
      <c r="Q79" s="967"/>
      <c r="R79" s="967"/>
      <c r="S79" s="967"/>
      <c r="T79" s="967"/>
      <c r="U79" s="967"/>
      <c r="V79" s="967"/>
      <c r="W79" s="967"/>
      <c r="X79" s="967"/>
      <c r="Y79" s="967"/>
      <c r="Z79" s="967"/>
      <c r="AA79" s="967"/>
      <c r="AB79" s="967"/>
      <c r="AC79" s="968"/>
      <c r="AD79" s="969">
        <f>SUM(AD70:AG78)</f>
        <v>0</v>
      </c>
      <c r="AE79" s="969"/>
      <c r="AF79" s="969"/>
      <c r="AG79" s="970"/>
      <c r="AH79" s="971">
        <f>SUM(AH70:AK78)</f>
        <v>0</v>
      </c>
      <c r="AI79" s="971"/>
      <c r="AJ79" s="971"/>
      <c r="AK79" s="972"/>
      <c r="AL79" s="973">
        <f>SUM(AL70:AO78)</f>
        <v>0</v>
      </c>
      <c r="AM79" s="973"/>
      <c r="AN79" s="973"/>
      <c r="AO79" s="974"/>
    </row>
    <row r="80" spans="2:41" ht="3.6" customHeight="1" thickBot="1">
      <c r="B80" s="762"/>
      <c r="C80" s="762"/>
      <c r="D80" s="762"/>
      <c r="E80" s="762"/>
      <c r="F80" s="762"/>
      <c r="G80" s="762"/>
      <c r="H80" s="762"/>
      <c r="I80" s="762"/>
      <c r="J80" s="762"/>
      <c r="K80" s="762"/>
      <c r="L80" s="762"/>
      <c r="M80" s="762"/>
      <c r="N80" s="762"/>
      <c r="O80" s="762"/>
      <c r="P80" s="762"/>
      <c r="Q80" s="762"/>
      <c r="R80" s="762"/>
      <c r="S80" s="762"/>
      <c r="T80" s="762"/>
      <c r="U80" s="762"/>
      <c r="V80" s="762"/>
      <c r="W80" s="762"/>
      <c r="X80" s="762"/>
      <c r="Y80" s="762"/>
      <c r="Z80" s="762"/>
      <c r="AA80" s="762"/>
      <c r="AB80" s="762"/>
      <c r="AC80" s="762"/>
      <c r="AD80" s="762"/>
      <c r="AE80" s="762"/>
      <c r="AF80" s="762"/>
      <c r="AG80" s="762"/>
      <c r="AH80" s="762"/>
      <c r="AI80" s="762"/>
      <c r="AJ80" s="762"/>
      <c r="AK80" s="762"/>
      <c r="AL80" s="762"/>
      <c r="AM80" s="762"/>
      <c r="AN80" s="762"/>
      <c r="AO80" s="762"/>
    </row>
    <row r="81" spans="2:46" ht="21.6" customHeight="1" thickBot="1">
      <c r="B81" s="644" t="s">
        <v>417</v>
      </c>
      <c r="C81" s="645"/>
      <c r="D81" s="645"/>
      <c r="E81" s="645"/>
      <c r="F81" s="645"/>
      <c r="G81" s="645"/>
      <c r="H81" s="645"/>
      <c r="I81" s="645"/>
      <c r="J81" s="645"/>
      <c r="K81" s="645"/>
      <c r="L81" s="645"/>
      <c r="M81" s="645"/>
      <c r="N81" s="645"/>
      <c r="O81" s="645"/>
      <c r="P81" s="645"/>
      <c r="Q81" s="645"/>
      <c r="R81" s="645"/>
      <c r="S81" s="645"/>
      <c r="T81" s="645"/>
      <c r="U81" s="645"/>
      <c r="V81" s="645"/>
      <c r="W81" s="645"/>
      <c r="X81" s="645"/>
      <c r="Y81" s="645"/>
      <c r="Z81" s="645"/>
      <c r="AA81" s="645"/>
      <c r="AB81" s="645"/>
      <c r="AC81" s="645"/>
      <c r="AD81" s="645"/>
      <c r="AE81" s="645"/>
      <c r="AF81" s="645"/>
      <c r="AG81" s="645"/>
      <c r="AH81" s="645"/>
      <c r="AI81" s="645"/>
      <c r="AJ81" s="645"/>
      <c r="AK81" s="645"/>
      <c r="AL81" s="645"/>
      <c r="AM81" s="645"/>
      <c r="AN81" s="645"/>
      <c r="AO81" s="646"/>
    </row>
    <row r="82" spans="2:46" s="2" customFormat="1" ht="21.6" customHeight="1">
      <c r="B82" s="785" t="s">
        <v>175</v>
      </c>
      <c r="C82" s="759"/>
      <c r="D82" s="759"/>
      <c r="E82" s="759"/>
      <c r="F82" s="759"/>
      <c r="G82" s="759"/>
      <c r="H82" s="786">
        <f>SUMIF(B:C,"A",X:AC)+SUMIF(B57:C65,"A",AD57:AG65)+SUMIF(B70:C78,"A",AD70:AG78)</f>
        <v>0</v>
      </c>
      <c r="I82" s="786"/>
      <c r="J82" s="786"/>
      <c r="K82" s="786"/>
      <c r="L82" s="759" t="s">
        <v>176</v>
      </c>
      <c r="M82" s="759"/>
      <c r="N82" s="759"/>
      <c r="O82" s="759"/>
      <c r="P82" s="759"/>
      <c r="Q82" s="759"/>
      <c r="R82" s="759"/>
      <c r="S82" s="786">
        <f>IF(AND(B10="A",NOT(ISBLANK(X10))),AD10,0)+IF(AND(B12="A",NOT(ISBLANK(X12))),AD12,0)+IF(AND(B15="A",NOT(ISBLANK(X15))),AD15,0)+IF(AND(B18="A",NOT(ISBLANK(X18))),AD18,0)+IF(AND(B21="A",NOT(ISBLANK(X21))),AD21,0)+IF(AND(B23="A",NOT(ISBLANK(X23))),AD23,0)+IF(AND(B25="A",NOT(ISBLANK(X25))),AD25,0)+IF(AND(B27="A",NOT(ISBLANK(X27))),AD27,0)+IF(AND(B29="A",NOT(ISBLANK(X29))),AD29,0)+IF(AND(B35="A",NOT(ISBLANK(X35))),AD35,0)+IF(AND(B37="A",NOT(ISBLANK(X37))),AD37,0)+IF(AND(B39="A",NOT(ISBLANK(X39))),AD39,0)+IF(AND(B41="A",NOT(ISBLANK(X41))),AD41,0)+IF(AND(B43="A",NOT(ISBLANK(X43))),AD43,0)+IF(AND(B45="A",NOT(ISBLANK(X45))),AD45,0)+IF(AND(B47="A",NOT(ISBLANK(X47))),AD47,0)+IF(AND(B50="A",NOT(ISBLANK(X50))),AD50,0)+SUMIF(B70:C78,"A",AH70:AK78)+SUMIF(B57:C65,"A",AH57:AK65)</f>
        <v>0</v>
      </c>
      <c r="T82" s="786"/>
      <c r="U82" s="786"/>
      <c r="V82" s="786"/>
      <c r="W82" s="759" t="s">
        <v>177</v>
      </c>
      <c r="X82" s="759"/>
      <c r="Y82" s="759"/>
      <c r="Z82" s="759"/>
      <c r="AA82" s="759"/>
      <c r="AB82" s="889"/>
      <c r="AC82" s="889"/>
      <c r="AD82" s="889"/>
      <c r="AE82" s="889"/>
      <c r="AF82" s="759" t="s">
        <v>178</v>
      </c>
      <c r="AG82" s="759"/>
      <c r="AH82" s="759"/>
      <c r="AI82" s="759"/>
      <c r="AJ82" s="759"/>
      <c r="AK82" s="786">
        <f>H82-S82-AB82</f>
        <v>0</v>
      </c>
      <c r="AL82" s="786"/>
      <c r="AM82" s="786"/>
      <c r="AN82" s="786"/>
      <c r="AO82" s="890"/>
    </row>
    <row r="83" spans="2:46" s="2" customFormat="1" ht="21.6" customHeight="1">
      <c r="B83" s="906" t="s">
        <v>179</v>
      </c>
      <c r="C83" s="900"/>
      <c r="D83" s="900"/>
      <c r="E83" s="900"/>
      <c r="F83" s="900"/>
      <c r="G83" s="900"/>
      <c r="H83" s="907">
        <f>SUMIF(B:C,"B",X:AC)+SUMIF(B57:C65,"B",AD57:AG65)+SUMIF(B70:C78,"B",AD70:AG78)</f>
        <v>0</v>
      </c>
      <c r="I83" s="907"/>
      <c r="J83" s="907"/>
      <c r="K83" s="907"/>
      <c r="L83" s="900" t="s">
        <v>180</v>
      </c>
      <c r="M83" s="900"/>
      <c r="N83" s="900"/>
      <c r="O83" s="900"/>
      <c r="P83" s="900"/>
      <c r="Q83" s="900"/>
      <c r="R83" s="900"/>
      <c r="S83" s="907">
        <f>IF(AND(B10="B",NOT(ISBLANK(X10))),AD10,0)+IF(AND(B12="B",NOT(ISBLANK(X12))),AD12,0)+IF(AND(B15="B",NOT(ISBLANK(X15))),AD15,0)+IF(AND(B18="B",NOT(ISBLANK(X18))),AD18,0)+IF(AND(B21="B",NOT(ISBLANK(X21))),AD21,0)+IF(AND(B23="B",NOT(ISBLANK(X23))),AD23,0)+IF(AND(B25="B",NOT(ISBLANK(X25))),AD25,0)+IF(AND(B27="B",NOT(ISBLANK(X27))),AD27,0)+IF(AND(B29="B",NOT(ISBLANK(X29))),AD29,0)+IF(AND(B35="B",NOT(ISBLANK(X35))),AD35,0)+IF(AND(B37="B",NOT(ISBLANK(X37))),AD37,0)+IF(AND(B39="B",NOT(ISBLANK(X39))),AD39,0)+IF(AND(B41="B",NOT(ISBLANK(X41))),AD41,0)+IF(AND(B43="B",NOT(ISBLANK(X43))),AD43,0)+IF(AND(B45="B",NOT(ISBLANK(X45))),AD45,0)+IF(AND(B47="B",NOT(ISBLANK(X47))),AD47,0)+IF(AND(B50="B",NOT(ISBLANK(X50))),AD50,0)+SUMIF(B70:C78,"B",AH70:AK78)+SUMIF(B57:C65,"B",AH57:AK65)</f>
        <v>0</v>
      </c>
      <c r="T83" s="907"/>
      <c r="U83" s="907"/>
      <c r="V83" s="907"/>
      <c r="W83" s="900" t="s">
        <v>177</v>
      </c>
      <c r="X83" s="900"/>
      <c r="Y83" s="900"/>
      <c r="Z83" s="900"/>
      <c r="AA83" s="900"/>
      <c r="AB83" s="908"/>
      <c r="AC83" s="908"/>
      <c r="AD83" s="908"/>
      <c r="AE83" s="908"/>
      <c r="AF83" s="900" t="s">
        <v>178</v>
      </c>
      <c r="AG83" s="900"/>
      <c r="AH83" s="900"/>
      <c r="AI83" s="900"/>
      <c r="AJ83" s="900"/>
      <c r="AK83" s="901">
        <f>H83-S83-AB83</f>
        <v>0</v>
      </c>
      <c r="AL83" s="901"/>
      <c r="AM83" s="901"/>
      <c r="AN83" s="901"/>
      <c r="AO83" s="902"/>
    </row>
    <row r="84" spans="2:46" s="2" customFormat="1" ht="21.6" customHeight="1">
      <c r="B84" s="891" t="s">
        <v>418</v>
      </c>
      <c r="C84" s="892"/>
      <c r="D84" s="892"/>
      <c r="E84" s="892"/>
      <c r="F84" s="892"/>
      <c r="G84" s="892"/>
      <c r="H84" s="892"/>
      <c r="I84" s="892"/>
      <c r="J84" s="892"/>
      <c r="K84" s="892"/>
      <c r="L84" s="892"/>
      <c r="M84" s="892"/>
      <c r="N84" s="892"/>
      <c r="O84" s="892"/>
      <c r="P84" s="892"/>
      <c r="Q84" s="892"/>
      <c r="R84" s="892"/>
      <c r="S84" s="892"/>
      <c r="T84" s="892"/>
      <c r="U84" s="892"/>
      <c r="V84" s="892"/>
      <c r="W84" s="892"/>
      <c r="X84" s="892"/>
      <c r="Y84" s="892"/>
      <c r="Z84" s="892"/>
      <c r="AA84" s="892"/>
      <c r="AB84" s="892"/>
      <c r="AC84" s="892"/>
      <c r="AD84" s="892"/>
      <c r="AE84" s="892"/>
      <c r="AF84" s="892"/>
      <c r="AG84" s="892"/>
      <c r="AH84" s="892"/>
      <c r="AI84" s="892"/>
      <c r="AJ84" s="892"/>
      <c r="AK84" s="903">
        <f>H82+H83</f>
        <v>0</v>
      </c>
      <c r="AL84" s="904"/>
      <c r="AM84" s="904"/>
      <c r="AN84" s="904"/>
      <c r="AO84" s="905"/>
    </row>
    <row r="85" spans="2:46" s="2" customFormat="1" ht="21.6" customHeight="1">
      <c r="B85" s="891" t="s">
        <v>51</v>
      </c>
      <c r="C85" s="892"/>
      <c r="D85" s="892"/>
      <c r="E85" s="892"/>
      <c r="F85" s="892"/>
      <c r="G85" s="892"/>
      <c r="H85" s="892"/>
      <c r="I85" s="892"/>
      <c r="J85" s="892"/>
      <c r="K85" s="892"/>
      <c r="L85" s="892"/>
      <c r="M85" s="892"/>
      <c r="N85" s="892"/>
      <c r="O85" s="892"/>
      <c r="P85" s="892"/>
      <c r="Q85" s="892"/>
      <c r="R85" s="892"/>
      <c r="S85" s="892"/>
      <c r="T85" s="892"/>
      <c r="U85" s="892"/>
      <c r="V85" s="892"/>
      <c r="W85" s="892"/>
      <c r="X85" s="892"/>
      <c r="Y85" s="892"/>
      <c r="Z85" s="892"/>
      <c r="AA85" s="892"/>
      <c r="AB85" s="892"/>
      <c r="AC85" s="892"/>
      <c r="AD85" s="892"/>
      <c r="AE85" s="892"/>
      <c r="AF85" s="892"/>
      <c r="AG85" s="892"/>
      <c r="AH85" s="892"/>
      <c r="AI85" s="892"/>
      <c r="AJ85" s="892"/>
      <c r="AK85" s="903">
        <f>S82+S83</f>
        <v>0</v>
      </c>
      <c r="AL85" s="904"/>
      <c r="AM85" s="904"/>
      <c r="AN85" s="904"/>
      <c r="AO85" s="905"/>
    </row>
    <row r="86" spans="2:46" s="2" customFormat="1" ht="21.6" customHeight="1">
      <c r="B86" s="891" t="s">
        <v>453</v>
      </c>
      <c r="C86" s="892"/>
      <c r="D86" s="892"/>
      <c r="E86" s="892"/>
      <c r="F86" s="892"/>
      <c r="G86" s="892"/>
      <c r="H86" s="892"/>
      <c r="I86" s="892"/>
      <c r="J86" s="892"/>
      <c r="K86" s="892"/>
      <c r="L86" s="892"/>
      <c r="M86" s="892"/>
      <c r="N86" s="892"/>
      <c r="O86" s="892"/>
      <c r="P86" s="892"/>
      <c r="Q86" s="892"/>
      <c r="R86" s="892"/>
      <c r="S86" s="892"/>
      <c r="T86" s="892"/>
      <c r="U86" s="892"/>
      <c r="V86" s="892"/>
      <c r="W86" s="892"/>
      <c r="X86" s="892"/>
      <c r="Y86" s="892"/>
      <c r="Z86" s="892"/>
      <c r="AA86" s="892"/>
      <c r="AB86" s="892"/>
      <c r="AC86" s="892"/>
      <c r="AD86" s="892"/>
      <c r="AE86" s="892"/>
      <c r="AF86" s="892"/>
      <c r="AG86" s="892"/>
      <c r="AH86" s="892"/>
      <c r="AI86" s="892"/>
      <c r="AJ86" s="892"/>
      <c r="AK86" s="903">
        <f>AB82+AB83</f>
        <v>0</v>
      </c>
      <c r="AL86" s="904"/>
      <c r="AM86" s="904"/>
      <c r="AN86" s="904"/>
      <c r="AO86" s="905"/>
    </row>
    <row r="87" spans="2:46" s="2" customFormat="1" ht="21.6" customHeight="1">
      <c r="B87" s="891" t="s">
        <v>181</v>
      </c>
      <c r="C87" s="892"/>
      <c r="D87" s="892"/>
      <c r="E87" s="892"/>
      <c r="F87" s="892"/>
      <c r="G87" s="892"/>
      <c r="H87" s="892"/>
      <c r="I87" s="892"/>
      <c r="J87" s="892"/>
      <c r="K87" s="892"/>
      <c r="L87" s="892"/>
      <c r="M87" s="892"/>
      <c r="N87" s="892"/>
      <c r="O87" s="892"/>
      <c r="P87" s="892"/>
      <c r="Q87" s="892"/>
      <c r="R87" s="892"/>
      <c r="S87" s="892"/>
      <c r="T87" s="892"/>
      <c r="U87" s="892"/>
      <c r="V87" s="892"/>
      <c r="W87" s="892"/>
      <c r="X87" s="892"/>
      <c r="Y87" s="892"/>
      <c r="Z87" s="892"/>
      <c r="AA87" s="892"/>
      <c r="AB87" s="892"/>
      <c r="AC87" s="892"/>
      <c r="AD87" s="892"/>
      <c r="AE87" s="892"/>
      <c r="AF87" s="892"/>
      <c r="AG87" s="892"/>
      <c r="AH87" s="892"/>
      <c r="AI87" s="892"/>
      <c r="AJ87" s="892"/>
      <c r="AK87" s="903">
        <f>AK84-AK85-AK86</f>
        <v>0</v>
      </c>
      <c r="AL87" s="904"/>
      <c r="AM87" s="904"/>
      <c r="AN87" s="904"/>
      <c r="AO87" s="905"/>
    </row>
    <row r="88" spans="2:46" s="2" customFormat="1" ht="21.6" customHeight="1">
      <c r="B88" s="891" t="s">
        <v>182</v>
      </c>
      <c r="C88" s="892"/>
      <c r="D88" s="892"/>
      <c r="E88" s="892"/>
      <c r="F88" s="892"/>
      <c r="G88" s="892"/>
      <c r="H88" s="892"/>
      <c r="I88" s="892"/>
      <c r="J88" s="892"/>
      <c r="K88" s="892"/>
      <c r="L88" s="892"/>
      <c r="M88" s="892"/>
      <c r="N88" s="892"/>
      <c r="O88" s="892"/>
      <c r="P88" s="892"/>
      <c r="Q88" s="892"/>
      <c r="R88" s="892"/>
      <c r="S88" s="892"/>
      <c r="T88" s="892"/>
      <c r="U88" s="892"/>
      <c r="V88" s="892"/>
      <c r="W88" s="892"/>
      <c r="X88" s="892"/>
      <c r="Y88" s="892"/>
      <c r="Z88" s="892"/>
      <c r="AA88" s="892"/>
      <c r="AB88" s="892"/>
      <c r="AC88" s="892"/>
      <c r="AD88" s="892"/>
      <c r="AE88" s="892"/>
      <c r="AF88" s="892"/>
      <c r="AG88" s="892"/>
      <c r="AH88" s="892"/>
      <c r="AI88" s="892"/>
      <c r="AJ88" s="892"/>
      <c r="AK88" s="893"/>
      <c r="AL88" s="893"/>
      <c r="AM88" s="893"/>
      <c r="AN88" s="893"/>
      <c r="AO88" s="894"/>
    </row>
    <row r="89" spans="2:46" s="2" customFormat="1" ht="21.6" customHeight="1" thickBot="1">
      <c r="B89" s="895" t="s">
        <v>183</v>
      </c>
      <c r="C89" s="896"/>
      <c r="D89" s="896"/>
      <c r="E89" s="896"/>
      <c r="F89" s="896"/>
      <c r="G89" s="896"/>
      <c r="H89" s="896"/>
      <c r="I89" s="896"/>
      <c r="J89" s="896"/>
      <c r="K89" s="896"/>
      <c r="L89" s="896"/>
      <c r="M89" s="896"/>
      <c r="N89" s="896"/>
      <c r="O89" s="896"/>
      <c r="P89" s="896"/>
      <c r="Q89" s="896"/>
      <c r="R89" s="896"/>
      <c r="S89" s="896"/>
      <c r="T89" s="896"/>
      <c r="U89" s="896"/>
      <c r="V89" s="896"/>
      <c r="W89" s="896"/>
      <c r="X89" s="896"/>
      <c r="Y89" s="896"/>
      <c r="Z89" s="896"/>
      <c r="AA89" s="896"/>
      <c r="AB89" s="896"/>
      <c r="AC89" s="896"/>
      <c r="AD89" s="896"/>
      <c r="AE89" s="896"/>
      <c r="AF89" s="896"/>
      <c r="AG89" s="896"/>
      <c r="AH89" s="896"/>
      <c r="AI89" s="896"/>
      <c r="AJ89" s="896"/>
      <c r="AK89" s="897">
        <f>AK87-AK88</f>
        <v>0</v>
      </c>
      <c r="AL89" s="898"/>
      <c r="AM89" s="898"/>
      <c r="AN89" s="898"/>
      <c r="AO89" s="899"/>
      <c r="AQ89" s="975" t="s">
        <v>486</v>
      </c>
      <c r="AR89" s="975"/>
      <c r="AS89" s="975"/>
      <c r="AT89" s="302" t="str">
        <f>IF('Project Score'!G30=0,"0",'Project Score'!C34)</f>
        <v>0</v>
      </c>
    </row>
    <row r="90" spans="2:46" ht="3.6" customHeight="1" thickBot="1">
      <c r="B90" s="909"/>
      <c r="C90" s="909"/>
      <c r="D90" s="909"/>
      <c r="E90" s="909"/>
      <c r="F90" s="909"/>
      <c r="G90" s="909"/>
      <c r="H90" s="909"/>
      <c r="I90" s="909"/>
      <c r="J90" s="909"/>
      <c r="K90" s="909"/>
      <c r="L90" s="909"/>
      <c r="M90" s="909"/>
      <c r="N90" s="909"/>
      <c r="O90" s="909"/>
      <c r="P90" s="909"/>
      <c r="Q90" s="909"/>
      <c r="R90" s="909"/>
      <c r="S90" s="909"/>
      <c r="T90" s="909"/>
      <c r="U90" s="909"/>
      <c r="V90" s="909"/>
      <c r="W90" s="909"/>
      <c r="X90" s="909"/>
      <c r="Y90" s="909"/>
      <c r="Z90" s="909"/>
      <c r="AA90" s="909"/>
      <c r="AB90" s="909"/>
      <c r="AC90" s="909"/>
      <c r="AD90" s="909"/>
      <c r="AE90" s="909"/>
      <c r="AF90" s="909"/>
      <c r="AG90" s="909"/>
      <c r="AH90" s="909"/>
      <c r="AI90" s="909"/>
      <c r="AJ90" s="909"/>
      <c r="AK90" s="909"/>
      <c r="AL90" s="909"/>
      <c r="AM90" s="909"/>
      <c r="AN90" s="909"/>
      <c r="AO90" s="909"/>
    </row>
    <row r="91" spans="2:46" s="2" customFormat="1" ht="21.6" customHeight="1" thickBot="1">
      <c r="B91" s="910"/>
      <c r="C91" s="911"/>
      <c r="D91" s="912" t="s">
        <v>191</v>
      </c>
      <c r="E91" s="912"/>
      <c r="F91" s="912"/>
      <c r="G91" s="912"/>
      <c r="H91" s="912"/>
      <c r="I91" s="912"/>
      <c r="J91" s="912"/>
      <c r="K91" s="912"/>
      <c r="L91" s="912"/>
      <c r="M91" s="912"/>
      <c r="N91" s="912"/>
      <c r="O91" s="912"/>
      <c r="P91" s="913"/>
      <c r="Q91" s="914"/>
      <c r="R91" s="914"/>
      <c r="S91" s="915" t="s">
        <v>192</v>
      </c>
      <c r="T91" s="915"/>
      <c r="U91" s="915"/>
      <c r="V91" s="915"/>
      <c r="W91" s="915"/>
      <c r="X91" s="915"/>
      <c r="Y91" s="915"/>
      <c r="Z91" s="915"/>
      <c r="AA91" s="915"/>
      <c r="AB91" s="916"/>
      <c r="AC91" s="917"/>
      <c r="AD91" s="917"/>
      <c r="AE91" s="915" t="s">
        <v>193</v>
      </c>
      <c r="AF91" s="915"/>
      <c r="AG91" s="915"/>
      <c r="AH91" s="915"/>
      <c r="AI91" s="915"/>
      <c r="AJ91" s="915"/>
      <c r="AK91" s="915"/>
      <c r="AL91" s="915"/>
      <c r="AM91" s="915"/>
      <c r="AN91" s="915"/>
      <c r="AO91" s="918"/>
    </row>
    <row r="92" spans="2:46" ht="3.6" customHeight="1" thickBot="1">
      <c r="B92" s="930"/>
      <c r="C92" s="930"/>
      <c r="D92" s="930"/>
      <c r="E92" s="930"/>
      <c r="F92" s="930"/>
      <c r="G92" s="930"/>
      <c r="H92" s="930"/>
      <c r="I92" s="930"/>
      <c r="J92" s="930"/>
      <c r="K92" s="930"/>
      <c r="L92" s="930"/>
      <c r="M92" s="930"/>
      <c r="N92" s="930"/>
      <c r="O92" s="930"/>
      <c r="P92" s="930"/>
      <c r="Q92" s="930"/>
      <c r="R92" s="930"/>
      <c r="S92" s="930"/>
      <c r="T92" s="930"/>
      <c r="U92" s="930"/>
      <c r="V92" s="930"/>
      <c r="W92" s="930"/>
      <c r="X92" s="930"/>
      <c r="Y92" s="930"/>
      <c r="Z92" s="930"/>
      <c r="AA92" s="930"/>
      <c r="AB92" s="930"/>
      <c r="AC92" s="930"/>
      <c r="AD92" s="930"/>
      <c r="AE92" s="930"/>
      <c r="AF92" s="930"/>
      <c r="AG92" s="930"/>
      <c r="AH92" s="930"/>
      <c r="AI92" s="930"/>
      <c r="AJ92" s="930"/>
      <c r="AK92" s="930"/>
      <c r="AL92" s="930"/>
      <c r="AM92" s="930"/>
      <c r="AN92" s="930"/>
      <c r="AO92" s="930"/>
    </row>
    <row r="93" spans="2:46" ht="21.6" customHeight="1">
      <c r="B93" s="931" t="s">
        <v>419</v>
      </c>
      <c r="C93" s="932"/>
      <c r="D93" s="932"/>
      <c r="E93" s="932"/>
      <c r="F93" s="932"/>
      <c r="G93" s="932"/>
      <c r="H93" s="932"/>
      <c r="I93" s="932"/>
      <c r="J93" s="932"/>
      <c r="K93" s="932"/>
      <c r="L93" s="932"/>
      <c r="M93" s="932"/>
      <c r="N93" s="932"/>
      <c r="O93" s="932"/>
      <c r="P93" s="932"/>
      <c r="Q93" s="932"/>
      <c r="R93" s="932"/>
      <c r="S93" s="932"/>
      <c r="T93" s="932"/>
      <c r="U93" s="932"/>
      <c r="V93" s="932"/>
      <c r="W93" s="932"/>
      <c r="X93" s="932"/>
      <c r="Y93" s="932"/>
      <c r="Z93" s="932"/>
      <c r="AA93" s="932"/>
      <c r="AB93" s="932"/>
      <c r="AC93" s="932"/>
      <c r="AD93" s="932"/>
      <c r="AE93" s="932"/>
      <c r="AF93" s="932"/>
      <c r="AG93" s="932"/>
      <c r="AH93" s="932"/>
      <c r="AI93" s="932"/>
      <c r="AJ93" s="932"/>
      <c r="AK93" s="932"/>
      <c r="AL93" s="932"/>
      <c r="AM93" s="932"/>
      <c r="AN93" s="932"/>
      <c r="AO93" s="933"/>
    </row>
    <row r="94" spans="2:46" s="21" customFormat="1" ht="100.8" customHeight="1">
      <c r="B94" s="934" t="s">
        <v>194</v>
      </c>
      <c r="C94" s="935"/>
      <c r="D94" s="935"/>
      <c r="E94" s="935"/>
      <c r="F94" s="935"/>
      <c r="G94" s="935"/>
      <c r="H94" s="935"/>
      <c r="I94" s="935"/>
      <c r="J94" s="935"/>
      <c r="K94" s="935"/>
      <c r="L94" s="935"/>
      <c r="M94" s="935"/>
      <c r="N94" s="935"/>
      <c r="O94" s="935"/>
      <c r="P94" s="935"/>
      <c r="Q94" s="935"/>
      <c r="R94" s="935"/>
      <c r="S94" s="935"/>
      <c r="T94" s="935"/>
      <c r="U94" s="935"/>
      <c r="V94" s="935"/>
      <c r="W94" s="935"/>
      <c r="X94" s="935"/>
      <c r="Y94" s="935"/>
      <c r="Z94" s="935"/>
      <c r="AA94" s="935"/>
      <c r="AB94" s="935"/>
      <c r="AC94" s="935"/>
      <c r="AD94" s="935"/>
      <c r="AE94" s="935"/>
      <c r="AF94" s="935"/>
      <c r="AG94" s="935"/>
      <c r="AH94" s="935"/>
      <c r="AI94" s="935"/>
      <c r="AJ94" s="935"/>
      <c r="AK94" s="935"/>
      <c r="AL94" s="935"/>
      <c r="AM94" s="935"/>
      <c r="AN94" s="935"/>
      <c r="AO94" s="936"/>
    </row>
    <row r="95" spans="2:46" s="21" customFormat="1" ht="29.4" customHeight="1">
      <c r="B95" s="934" t="s">
        <v>186</v>
      </c>
      <c r="C95" s="935"/>
      <c r="D95" s="935"/>
      <c r="E95" s="935"/>
      <c r="F95" s="935"/>
      <c r="G95" s="935"/>
      <c r="H95" s="935"/>
      <c r="I95" s="935"/>
      <c r="J95" s="935"/>
      <c r="K95" s="935"/>
      <c r="L95" s="935"/>
      <c r="M95" s="935"/>
      <c r="N95" s="935"/>
      <c r="O95" s="935"/>
      <c r="P95" s="935"/>
      <c r="Q95" s="935"/>
      <c r="R95" s="935"/>
      <c r="S95" s="935"/>
      <c r="T95" s="935"/>
      <c r="U95" s="935"/>
      <c r="V95" s="935"/>
      <c r="W95" s="935"/>
      <c r="X95" s="935"/>
      <c r="Y95" s="935"/>
      <c r="Z95" s="935"/>
      <c r="AA95" s="935"/>
      <c r="AB95" s="935"/>
      <c r="AC95" s="935"/>
      <c r="AD95" s="935"/>
      <c r="AE95" s="935"/>
      <c r="AF95" s="935"/>
      <c r="AG95" s="935"/>
      <c r="AH95" s="935"/>
      <c r="AI95" s="935"/>
      <c r="AJ95" s="935"/>
      <c r="AK95" s="935"/>
      <c r="AL95" s="935"/>
      <c r="AM95" s="935"/>
      <c r="AN95" s="935"/>
      <c r="AO95" s="936"/>
    </row>
    <row r="96" spans="2:46" ht="34.950000000000003" customHeight="1">
      <c r="B96" s="766" t="s">
        <v>423</v>
      </c>
      <c r="C96" s="767"/>
      <c r="D96" s="767"/>
      <c r="E96" s="767"/>
      <c r="F96" s="767"/>
      <c r="G96" s="778"/>
      <c r="H96" s="778"/>
      <c r="I96" s="778"/>
      <c r="J96" s="778"/>
      <c r="K96" s="778"/>
      <c r="L96" s="778"/>
      <c r="M96" s="778"/>
      <c r="N96" s="778"/>
      <c r="O96" s="778"/>
      <c r="P96" s="778"/>
      <c r="Q96" s="778"/>
      <c r="R96" s="779"/>
      <c r="S96" s="780" t="s">
        <v>187</v>
      </c>
      <c r="T96" s="780"/>
      <c r="U96" s="780"/>
      <c r="V96" s="780"/>
      <c r="W96" s="781"/>
      <c r="X96" s="781"/>
      <c r="Y96" s="781"/>
      <c r="Z96" s="781"/>
      <c r="AA96" s="781"/>
      <c r="AB96" s="781"/>
      <c r="AC96" s="781"/>
      <c r="AD96" s="781"/>
      <c r="AE96" s="781"/>
      <c r="AF96" s="781"/>
      <c r="AG96" s="781"/>
      <c r="AH96" s="781"/>
      <c r="AI96" s="782"/>
      <c r="AJ96" s="765" t="s">
        <v>188</v>
      </c>
      <c r="AK96" s="765"/>
      <c r="AL96" s="763"/>
      <c r="AM96" s="763"/>
      <c r="AN96" s="763"/>
      <c r="AO96" s="764"/>
    </row>
    <row r="97" spans="2:41" ht="34.950000000000003" customHeight="1" thickBot="1">
      <c r="B97" s="922" t="s">
        <v>189</v>
      </c>
      <c r="C97" s="923"/>
      <c r="D97" s="923"/>
      <c r="E97" s="923"/>
      <c r="F97" s="923"/>
      <c r="G97" s="923"/>
      <c r="H97" s="923"/>
      <c r="I97" s="923"/>
      <c r="J97" s="937"/>
      <c r="K97" s="937"/>
      <c r="L97" s="937"/>
      <c r="M97" s="937"/>
      <c r="N97" s="937"/>
      <c r="O97" s="937"/>
      <c r="P97" s="937"/>
      <c r="Q97" s="937"/>
      <c r="R97" s="937"/>
      <c r="S97" s="937"/>
      <c r="T97" s="937"/>
      <c r="U97" s="937"/>
      <c r="V97" s="937"/>
      <c r="W97" s="937"/>
      <c r="X97" s="937"/>
      <c r="Y97" s="937"/>
      <c r="Z97" s="937"/>
      <c r="AA97" s="937"/>
      <c r="AB97" s="937"/>
      <c r="AC97" s="937"/>
      <c r="AD97" s="937"/>
      <c r="AE97" s="937"/>
      <c r="AF97" s="937"/>
      <c r="AG97" s="937"/>
      <c r="AH97" s="937"/>
      <c r="AI97" s="938"/>
      <c r="AJ97" s="765" t="s">
        <v>188</v>
      </c>
      <c r="AK97" s="765"/>
      <c r="AL97" s="763"/>
      <c r="AM97" s="763"/>
      <c r="AN97" s="763"/>
      <c r="AO97" s="764"/>
    </row>
    <row r="98" spans="2:41" ht="3.6" customHeight="1" thickBot="1">
      <c r="B98" s="939"/>
      <c r="C98" s="939"/>
      <c r="D98" s="939"/>
      <c r="E98" s="939"/>
      <c r="F98" s="939"/>
      <c r="G98" s="939"/>
      <c r="H98" s="939"/>
      <c r="I98" s="939"/>
      <c r="J98" s="939"/>
      <c r="K98" s="939"/>
      <c r="L98" s="939"/>
      <c r="M98" s="939"/>
      <c r="N98" s="939"/>
      <c r="O98" s="939"/>
      <c r="P98" s="939"/>
      <c r="Q98" s="939"/>
      <c r="R98" s="939"/>
      <c r="S98" s="939"/>
      <c r="T98" s="939"/>
      <c r="U98" s="939"/>
      <c r="V98" s="939"/>
      <c r="W98" s="939"/>
      <c r="X98" s="939"/>
      <c r="Y98" s="939"/>
      <c r="Z98" s="939"/>
      <c r="AA98" s="939"/>
      <c r="AB98" s="939"/>
      <c r="AC98" s="939"/>
      <c r="AD98" s="939"/>
      <c r="AE98" s="939"/>
      <c r="AF98" s="939"/>
      <c r="AG98" s="939"/>
      <c r="AH98" s="939"/>
      <c r="AI98" s="939"/>
      <c r="AJ98" s="939"/>
      <c r="AK98" s="939"/>
      <c r="AL98" s="939"/>
      <c r="AM98" s="939"/>
      <c r="AN98" s="939"/>
      <c r="AO98" s="939"/>
    </row>
    <row r="99" spans="2:41" ht="21.6" customHeight="1">
      <c r="B99" s="924" t="s">
        <v>420</v>
      </c>
      <c r="C99" s="925"/>
      <c r="D99" s="925"/>
      <c r="E99" s="925"/>
      <c r="F99" s="925"/>
      <c r="G99" s="925"/>
      <c r="H99" s="925"/>
      <c r="I99" s="925"/>
      <c r="J99" s="925"/>
      <c r="K99" s="925"/>
      <c r="L99" s="925"/>
      <c r="M99" s="925"/>
      <c r="N99" s="925"/>
      <c r="O99" s="925"/>
      <c r="P99" s="925"/>
      <c r="Q99" s="925"/>
      <c r="R99" s="925"/>
      <c r="S99" s="925"/>
      <c r="T99" s="925"/>
      <c r="U99" s="925"/>
      <c r="V99" s="925"/>
      <c r="W99" s="925"/>
      <c r="X99" s="925"/>
      <c r="Y99" s="925"/>
      <c r="Z99" s="925"/>
      <c r="AA99" s="925"/>
      <c r="AB99" s="925"/>
      <c r="AC99" s="925"/>
      <c r="AD99" s="925"/>
      <c r="AE99" s="925"/>
      <c r="AF99" s="925"/>
      <c r="AG99" s="925"/>
      <c r="AH99" s="925"/>
      <c r="AI99" s="925"/>
      <c r="AJ99" s="925"/>
      <c r="AK99" s="925"/>
      <c r="AL99" s="925"/>
      <c r="AM99" s="925"/>
      <c r="AN99" s="925"/>
      <c r="AO99" s="926"/>
    </row>
    <row r="100" spans="2:41" ht="47.4" customHeight="1">
      <c r="B100" s="927" t="s">
        <v>190</v>
      </c>
      <c r="C100" s="928"/>
      <c r="D100" s="928"/>
      <c r="E100" s="928"/>
      <c r="F100" s="928"/>
      <c r="G100" s="928"/>
      <c r="H100" s="928"/>
      <c r="I100" s="928"/>
      <c r="J100" s="928"/>
      <c r="K100" s="928"/>
      <c r="L100" s="928"/>
      <c r="M100" s="928"/>
      <c r="N100" s="928"/>
      <c r="O100" s="928"/>
      <c r="P100" s="928"/>
      <c r="Q100" s="928"/>
      <c r="R100" s="928"/>
      <c r="S100" s="928"/>
      <c r="T100" s="928"/>
      <c r="U100" s="928"/>
      <c r="V100" s="928"/>
      <c r="W100" s="928"/>
      <c r="X100" s="928"/>
      <c r="Y100" s="928"/>
      <c r="Z100" s="928"/>
      <c r="AA100" s="928"/>
      <c r="AB100" s="928"/>
      <c r="AC100" s="928"/>
      <c r="AD100" s="928"/>
      <c r="AE100" s="928"/>
      <c r="AF100" s="928"/>
      <c r="AG100" s="928"/>
      <c r="AH100" s="928"/>
      <c r="AI100" s="928"/>
      <c r="AJ100" s="928"/>
      <c r="AK100" s="928"/>
      <c r="AL100" s="928"/>
      <c r="AM100" s="928"/>
      <c r="AN100" s="928"/>
      <c r="AO100" s="929"/>
    </row>
    <row r="101" spans="2:41" ht="34.950000000000003" customHeight="1">
      <c r="B101" s="766" t="s">
        <v>423</v>
      </c>
      <c r="C101" s="767"/>
      <c r="D101" s="767"/>
      <c r="E101" s="767"/>
      <c r="F101" s="767"/>
      <c r="G101" s="778"/>
      <c r="H101" s="778"/>
      <c r="I101" s="778"/>
      <c r="J101" s="778"/>
      <c r="K101" s="778"/>
      <c r="L101" s="778"/>
      <c r="M101" s="778"/>
      <c r="N101" s="778"/>
      <c r="O101" s="778"/>
      <c r="P101" s="778"/>
      <c r="Q101" s="778"/>
      <c r="R101" s="779"/>
      <c r="S101" s="780" t="s">
        <v>187</v>
      </c>
      <c r="T101" s="780"/>
      <c r="U101" s="780"/>
      <c r="V101" s="780"/>
      <c r="W101" s="781"/>
      <c r="X101" s="781"/>
      <c r="Y101" s="781"/>
      <c r="Z101" s="781"/>
      <c r="AA101" s="781"/>
      <c r="AB101" s="781"/>
      <c r="AC101" s="781"/>
      <c r="AD101" s="781"/>
      <c r="AE101" s="781"/>
      <c r="AF101" s="781"/>
      <c r="AG101" s="781"/>
      <c r="AH101" s="781"/>
      <c r="AI101" s="782"/>
      <c r="AJ101" s="765" t="s">
        <v>188</v>
      </c>
      <c r="AK101" s="765"/>
      <c r="AL101" s="763"/>
      <c r="AM101" s="763"/>
      <c r="AN101" s="763"/>
      <c r="AO101" s="764"/>
    </row>
    <row r="102" spans="2:41" ht="34.950000000000003" customHeight="1" thickBot="1">
      <c r="B102" s="922" t="s">
        <v>189</v>
      </c>
      <c r="C102" s="923"/>
      <c r="D102" s="923"/>
      <c r="E102" s="923"/>
      <c r="F102" s="923"/>
      <c r="G102" s="923"/>
      <c r="H102" s="923"/>
      <c r="I102" s="923"/>
      <c r="J102" s="937"/>
      <c r="K102" s="937"/>
      <c r="L102" s="937"/>
      <c r="M102" s="937"/>
      <c r="N102" s="937"/>
      <c r="O102" s="937"/>
      <c r="P102" s="937"/>
      <c r="Q102" s="937"/>
      <c r="R102" s="937"/>
      <c r="S102" s="937"/>
      <c r="T102" s="937"/>
      <c r="U102" s="937"/>
      <c r="V102" s="937"/>
      <c r="W102" s="937"/>
      <c r="X102" s="937"/>
      <c r="Y102" s="937"/>
      <c r="Z102" s="937"/>
      <c r="AA102" s="937"/>
      <c r="AB102" s="937"/>
      <c r="AC102" s="937"/>
      <c r="AD102" s="937"/>
      <c r="AE102" s="937"/>
      <c r="AF102" s="937"/>
      <c r="AG102" s="937"/>
      <c r="AH102" s="937"/>
      <c r="AI102" s="938"/>
      <c r="AJ102" s="765" t="s">
        <v>188</v>
      </c>
      <c r="AK102" s="765"/>
      <c r="AL102" s="763"/>
      <c r="AM102" s="763"/>
      <c r="AN102" s="763"/>
      <c r="AO102" s="764"/>
    </row>
    <row r="103" spans="2:41" ht="21.6" customHeight="1" thickBot="1">
      <c r="B103" s="919" t="s">
        <v>1505</v>
      </c>
      <c r="C103" s="920"/>
      <c r="D103" s="920"/>
      <c r="E103" s="920"/>
      <c r="F103" s="920"/>
      <c r="G103" s="920"/>
      <c r="H103" s="920"/>
      <c r="I103" s="920"/>
      <c r="J103" s="920"/>
      <c r="K103" s="920"/>
      <c r="L103" s="920"/>
      <c r="M103" s="920"/>
      <c r="N103" s="920"/>
      <c r="O103" s="920"/>
      <c r="P103" s="920"/>
      <c r="Q103" s="920"/>
      <c r="R103" s="920"/>
      <c r="S103" s="920"/>
      <c r="T103" s="920"/>
      <c r="U103" s="920"/>
      <c r="V103" s="920"/>
      <c r="W103" s="920"/>
      <c r="X103" s="920"/>
      <c r="Y103" s="920"/>
      <c r="Z103" s="920"/>
      <c r="AA103" s="920"/>
      <c r="AB103" s="920"/>
      <c r="AC103" s="920"/>
      <c r="AD103" s="920"/>
      <c r="AE103" s="920"/>
      <c r="AF103" s="920"/>
      <c r="AG103" s="920"/>
      <c r="AH103" s="920"/>
      <c r="AI103" s="920"/>
      <c r="AJ103" s="920"/>
      <c r="AK103" s="920"/>
      <c r="AL103" s="920"/>
      <c r="AM103" s="920"/>
      <c r="AN103" s="920"/>
      <c r="AO103" s="921"/>
    </row>
    <row r="104" spans="2:41" ht="21.6" customHeight="1"/>
    <row r="105" spans="2:41">
      <c r="M105" s="21"/>
    </row>
  </sheetData>
  <sheetProtection algorithmName="SHA-512" hashValue="dXHN4SwV8wRcz/q8kNxRi78pKTA+cWv8V6nNNjNqC1CYXEio+EcFvOKe2SdLUTsfoUcyWAqWwBiQhaINRNkl7A==" saltValue="MOTtcLOX8VVPpNnaLkFy6w==" spinCount="100000" sheet="1" selectLockedCells="1"/>
  <mergeCells count="596">
    <mergeCell ref="AQ89:AS89"/>
    <mergeCell ref="B6:L6"/>
    <mergeCell ref="M6:Y6"/>
    <mergeCell ref="Z6:AA6"/>
    <mergeCell ref="AB6:AN6"/>
    <mergeCell ref="B70:C70"/>
    <mergeCell ref="D70:AA70"/>
    <mergeCell ref="AB70:AC70"/>
    <mergeCell ref="AD70:AG70"/>
    <mergeCell ref="AL70:AO70"/>
    <mergeCell ref="AL79:AO79"/>
    <mergeCell ref="AH79:AK79"/>
    <mergeCell ref="AD79:AG79"/>
    <mergeCell ref="B79:AC79"/>
    <mergeCell ref="D77:AA77"/>
    <mergeCell ref="AB77:AC77"/>
    <mergeCell ref="AD77:AG77"/>
    <mergeCell ref="AH77:AK77"/>
    <mergeCell ref="AL77:AO77"/>
    <mergeCell ref="D78:AA78"/>
    <mergeCell ref="AB78:AC78"/>
    <mergeCell ref="AD78:AG78"/>
    <mergeCell ref="AH78:AK78"/>
    <mergeCell ref="AL78:AO78"/>
    <mergeCell ref="D74:AA74"/>
    <mergeCell ref="AB74:AC74"/>
    <mergeCell ref="D65:AA65"/>
    <mergeCell ref="AB65:AC65"/>
    <mergeCell ref="AD65:AG65"/>
    <mergeCell ref="AH65:AK65"/>
    <mergeCell ref="AL65:AO65"/>
    <mergeCell ref="D69:AA69"/>
    <mergeCell ref="AB69:AC69"/>
    <mergeCell ref="AD69:AG69"/>
    <mergeCell ref="AH69:AK69"/>
    <mergeCell ref="AL69:AO69"/>
    <mergeCell ref="B68:AO68"/>
    <mergeCell ref="B69:C69"/>
    <mergeCell ref="B66:AC66"/>
    <mergeCell ref="AD66:AG66"/>
    <mergeCell ref="AH66:AK66"/>
    <mergeCell ref="AL66:AO66"/>
    <mergeCell ref="AH74:AK74"/>
    <mergeCell ref="AL74:AO74"/>
    <mergeCell ref="D71:AA71"/>
    <mergeCell ref="AB71:AC71"/>
    <mergeCell ref="AD71:AG71"/>
    <mergeCell ref="AH71:AK71"/>
    <mergeCell ref="B2:AO2"/>
    <mergeCell ref="N44:O44"/>
    <mergeCell ref="N46:O46"/>
    <mergeCell ref="N48:O48"/>
    <mergeCell ref="N51:O51"/>
    <mergeCell ref="B5:O5"/>
    <mergeCell ref="P5:X5"/>
    <mergeCell ref="Y5:AD5"/>
    <mergeCell ref="AF5:AH5"/>
    <mergeCell ref="AI5:AO5"/>
    <mergeCell ref="AG51:AH51"/>
    <mergeCell ref="AI51:AK51"/>
    <mergeCell ref="AL51:AM51"/>
    <mergeCell ref="AN51:AO51"/>
    <mergeCell ref="AI48:AK48"/>
    <mergeCell ref="AL48:AM48"/>
    <mergeCell ref="AN48:AO48"/>
    <mergeCell ref="D49:I49"/>
    <mergeCell ref="J49:O49"/>
    <mergeCell ref="P49:W49"/>
    <mergeCell ref="X49:AC49"/>
    <mergeCell ref="AD49:AK49"/>
    <mergeCell ref="AL49:AO49"/>
    <mergeCell ref="H40:M40"/>
    <mergeCell ref="B90:AO90"/>
    <mergeCell ref="B91:C91"/>
    <mergeCell ref="D91:P91"/>
    <mergeCell ref="Q91:R91"/>
    <mergeCell ref="S91:AB91"/>
    <mergeCell ref="AC91:AD91"/>
    <mergeCell ref="AE91:AO91"/>
    <mergeCell ref="B103:AO103"/>
    <mergeCell ref="B102:I102"/>
    <mergeCell ref="B97:I97"/>
    <mergeCell ref="B99:AO99"/>
    <mergeCell ref="B100:AO100"/>
    <mergeCell ref="B92:AO92"/>
    <mergeCell ref="B93:AO93"/>
    <mergeCell ref="B94:AO94"/>
    <mergeCell ref="B95:AO95"/>
    <mergeCell ref="AJ97:AK97"/>
    <mergeCell ref="AL97:AO97"/>
    <mergeCell ref="J97:AI97"/>
    <mergeCell ref="J102:AI102"/>
    <mergeCell ref="AJ102:AK102"/>
    <mergeCell ref="AL102:AO102"/>
    <mergeCell ref="B98:AO98"/>
    <mergeCell ref="B101:F101"/>
    <mergeCell ref="B88:AJ88"/>
    <mergeCell ref="AK88:AO88"/>
    <mergeCell ref="B89:AJ89"/>
    <mergeCell ref="AK89:AO89"/>
    <mergeCell ref="AF83:AJ83"/>
    <mergeCell ref="AK83:AO83"/>
    <mergeCell ref="B84:AJ84"/>
    <mergeCell ref="AK84:AO84"/>
    <mergeCell ref="B85:AJ85"/>
    <mergeCell ref="AK85:AO85"/>
    <mergeCell ref="B83:G83"/>
    <mergeCell ref="H83:K83"/>
    <mergeCell ref="L83:R83"/>
    <mergeCell ref="S83:V83"/>
    <mergeCell ref="W83:AA83"/>
    <mergeCell ref="AB83:AE83"/>
    <mergeCell ref="B86:AJ86"/>
    <mergeCell ref="AK86:AO86"/>
    <mergeCell ref="AK87:AO87"/>
    <mergeCell ref="G101:R101"/>
    <mergeCell ref="S101:V101"/>
    <mergeCell ref="W101:AI101"/>
    <mergeCell ref="AJ101:AK101"/>
    <mergeCell ref="AL101:AO101"/>
    <mergeCell ref="B65:C65"/>
    <mergeCell ref="B63:C63"/>
    <mergeCell ref="B64:C64"/>
    <mergeCell ref="D63:AA63"/>
    <mergeCell ref="AB63:AC63"/>
    <mergeCell ref="AD63:AG63"/>
    <mergeCell ref="AH63:AK63"/>
    <mergeCell ref="AL63:AO63"/>
    <mergeCell ref="D64:AA64"/>
    <mergeCell ref="AB64:AC64"/>
    <mergeCell ref="AD64:AG64"/>
    <mergeCell ref="AH64:AK64"/>
    <mergeCell ref="AL64:AO64"/>
    <mergeCell ref="S82:V82"/>
    <mergeCell ref="W82:AA82"/>
    <mergeCell ref="AB82:AE82"/>
    <mergeCell ref="AF82:AJ82"/>
    <mergeCell ref="AK82:AO82"/>
    <mergeCell ref="B87:AJ87"/>
    <mergeCell ref="B61:C61"/>
    <mergeCell ref="B62:C62"/>
    <mergeCell ref="B59:C59"/>
    <mergeCell ref="B60:C60"/>
    <mergeCell ref="D59:AA59"/>
    <mergeCell ref="AB59:AC59"/>
    <mergeCell ref="AD59:AG59"/>
    <mergeCell ref="AH59:AK59"/>
    <mergeCell ref="AL59:AO59"/>
    <mergeCell ref="D60:AA60"/>
    <mergeCell ref="AB60:AC60"/>
    <mergeCell ref="AD60:AG60"/>
    <mergeCell ref="AH60:AK60"/>
    <mergeCell ref="AL60:AO60"/>
    <mergeCell ref="D61:AA61"/>
    <mergeCell ref="AB61:AC61"/>
    <mergeCell ref="AD61:AG61"/>
    <mergeCell ref="AH61:AK61"/>
    <mergeCell ref="AL61:AO61"/>
    <mergeCell ref="D62:AA62"/>
    <mergeCell ref="AB62:AC62"/>
    <mergeCell ref="AD62:AG62"/>
    <mergeCell ref="AH62:AK62"/>
    <mergeCell ref="AL62:AO62"/>
    <mergeCell ref="B57:C57"/>
    <mergeCell ref="B58:C58"/>
    <mergeCell ref="B53:W53"/>
    <mergeCell ref="X53:AC53"/>
    <mergeCell ref="AD53:AI53"/>
    <mergeCell ref="AJ53:AO53"/>
    <mergeCell ref="B55:AO55"/>
    <mergeCell ref="B56:C56"/>
    <mergeCell ref="B54:AO54"/>
    <mergeCell ref="AL56:AO56"/>
    <mergeCell ref="AH56:AK56"/>
    <mergeCell ref="AD56:AG56"/>
    <mergeCell ref="AB56:AC56"/>
    <mergeCell ref="D56:AA56"/>
    <mergeCell ref="D57:AA57"/>
    <mergeCell ref="AB57:AC57"/>
    <mergeCell ref="AD57:AG57"/>
    <mergeCell ref="AH57:AK57"/>
    <mergeCell ref="AL57:AO57"/>
    <mergeCell ref="D58:AA58"/>
    <mergeCell ref="AB58:AC58"/>
    <mergeCell ref="AD58:AG58"/>
    <mergeCell ref="AH58:AK58"/>
    <mergeCell ref="AL58:AO58"/>
    <mergeCell ref="D52:I52"/>
    <mergeCell ref="J52:O52"/>
    <mergeCell ref="P52:W52"/>
    <mergeCell ref="X52:AC52"/>
    <mergeCell ref="AD52:AK52"/>
    <mergeCell ref="AL52:AO52"/>
    <mergeCell ref="B50:C52"/>
    <mergeCell ref="D50:M50"/>
    <mergeCell ref="N50:P50"/>
    <mergeCell ref="Q50:S50"/>
    <mergeCell ref="T50:W50"/>
    <mergeCell ref="X50:AC50"/>
    <mergeCell ref="AD50:AI50"/>
    <mergeCell ref="AJ50:AO50"/>
    <mergeCell ref="D51:G51"/>
    <mergeCell ref="H51:M51"/>
    <mergeCell ref="P51:U51"/>
    <mergeCell ref="V51:W51"/>
    <mergeCell ref="X51:AA51"/>
    <mergeCell ref="AB51:AC51"/>
    <mergeCell ref="AD51:AF51"/>
    <mergeCell ref="AJ47:AO47"/>
    <mergeCell ref="D48:G48"/>
    <mergeCell ref="H48:M48"/>
    <mergeCell ref="P48:U48"/>
    <mergeCell ref="V48:W48"/>
    <mergeCell ref="X48:AA48"/>
    <mergeCell ref="AB48:AC48"/>
    <mergeCell ref="AD48:AF48"/>
    <mergeCell ref="AG48:AH48"/>
    <mergeCell ref="AD47:AI47"/>
    <mergeCell ref="B47:C49"/>
    <mergeCell ref="D47:M47"/>
    <mergeCell ref="N47:P47"/>
    <mergeCell ref="Q47:S47"/>
    <mergeCell ref="T47:W47"/>
    <mergeCell ref="X47:AC47"/>
    <mergeCell ref="D46:G46"/>
    <mergeCell ref="H46:M46"/>
    <mergeCell ref="P46:U46"/>
    <mergeCell ref="V46:W46"/>
    <mergeCell ref="X46:AA46"/>
    <mergeCell ref="AB46:AC46"/>
    <mergeCell ref="AI44:AK44"/>
    <mergeCell ref="AL44:AN44"/>
    <mergeCell ref="B45:C46"/>
    <mergeCell ref="D45:M45"/>
    <mergeCell ref="N45:P45"/>
    <mergeCell ref="Q45:S45"/>
    <mergeCell ref="T45:W45"/>
    <mergeCell ref="X45:AC45"/>
    <mergeCell ref="AD45:AI45"/>
    <mergeCell ref="AJ45:AO45"/>
    <mergeCell ref="B43:C44"/>
    <mergeCell ref="AD46:AE46"/>
    <mergeCell ref="AF46:AH46"/>
    <mergeCell ref="AI46:AK46"/>
    <mergeCell ref="AL46:AN46"/>
    <mergeCell ref="D44:G44"/>
    <mergeCell ref="H44:M44"/>
    <mergeCell ref="P44:U44"/>
    <mergeCell ref="V44:W44"/>
    <mergeCell ref="X44:AA44"/>
    <mergeCell ref="AB44:AC44"/>
    <mergeCell ref="AD44:AE44"/>
    <mergeCell ref="AF44:AH44"/>
    <mergeCell ref="D43:M43"/>
    <mergeCell ref="AD43:AI43"/>
    <mergeCell ref="AJ43:AO43"/>
    <mergeCell ref="B41:C42"/>
    <mergeCell ref="D41:M41"/>
    <mergeCell ref="N41:P41"/>
    <mergeCell ref="Q41:S41"/>
    <mergeCell ref="T41:W41"/>
    <mergeCell ref="X41:AC41"/>
    <mergeCell ref="N43:P43"/>
    <mergeCell ref="Q43:S43"/>
    <mergeCell ref="T43:W43"/>
    <mergeCell ref="X43:AC43"/>
    <mergeCell ref="H42:K42"/>
    <mergeCell ref="L42:O42"/>
    <mergeCell ref="P42:T42"/>
    <mergeCell ref="B39:C40"/>
    <mergeCell ref="D39:M39"/>
    <mergeCell ref="N39:P39"/>
    <mergeCell ref="Q39:S39"/>
    <mergeCell ref="T39:W39"/>
    <mergeCell ref="X39:AC39"/>
    <mergeCell ref="AD41:AI41"/>
    <mergeCell ref="AJ41:AO41"/>
    <mergeCell ref="D42:G42"/>
    <mergeCell ref="AD39:AI39"/>
    <mergeCell ref="AJ39:AO39"/>
    <mergeCell ref="AK42:AM42"/>
    <mergeCell ref="AB42:AG42"/>
    <mergeCell ref="W42:AA42"/>
    <mergeCell ref="U42:V42"/>
    <mergeCell ref="AD40:AJ40"/>
    <mergeCell ref="AB40:AC40"/>
    <mergeCell ref="T40:AA40"/>
    <mergeCell ref="N40:S40"/>
    <mergeCell ref="D40:G40"/>
    <mergeCell ref="AN42:AO42"/>
    <mergeCell ref="AN40:AO40"/>
    <mergeCell ref="AK40:AM40"/>
    <mergeCell ref="AH42:AJ42"/>
    <mergeCell ref="B37:C38"/>
    <mergeCell ref="D37:M37"/>
    <mergeCell ref="N37:P37"/>
    <mergeCell ref="Q37:S37"/>
    <mergeCell ref="T37:W37"/>
    <mergeCell ref="X37:AC37"/>
    <mergeCell ref="AD37:AI37"/>
    <mergeCell ref="AJ37:AO37"/>
    <mergeCell ref="N38:Q38"/>
    <mergeCell ref="R38:W38"/>
    <mergeCell ref="X38:AA38"/>
    <mergeCell ref="AB38:AH38"/>
    <mergeCell ref="AI38:AJ38"/>
    <mergeCell ref="AK38:AO38"/>
    <mergeCell ref="D38:M38"/>
    <mergeCell ref="AJ34:AO34"/>
    <mergeCell ref="B35:C36"/>
    <mergeCell ref="D35:M35"/>
    <mergeCell ref="N35:P35"/>
    <mergeCell ref="Q35:S35"/>
    <mergeCell ref="T35:W35"/>
    <mergeCell ref="X35:AC35"/>
    <mergeCell ref="AD35:AI35"/>
    <mergeCell ref="AJ35:AO35"/>
    <mergeCell ref="B34:C34"/>
    <mergeCell ref="D34:M34"/>
    <mergeCell ref="N34:S34"/>
    <mergeCell ref="T34:W34"/>
    <mergeCell ref="X34:AC34"/>
    <mergeCell ref="AD34:AI34"/>
    <mergeCell ref="X36:AA36"/>
    <mergeCell ref="AB36:AH36"/>
    <mergeCell ref="AI36:AJ36"/>
    <mergeCell ref="AK36:AO36"/>
    <mergeCell ref="N36:Q36"/>
    <mergeCell ref="R36:W36"/>
    <mergeCell ref="D36:M36"/>
    <mergeCell ref="B32:AO32"/>
    <mergeCell ref="B33:AO33"/>
    <mergeCell ref="AD29:AI29"/>
    <mergeCell ref="AJ29:AO29"/>
    <mergeCell ref="D30:M30"/>
    <mergeCell ref="N30:O30"/>
    <mergeCell ref="P30:V30"/>
    <mergeCell ref="W30:X30"/>
    <mergeCell ref="Y30:AE30"/>
    <mergeCell ref="AF30:AG30"/>
    <mergeCell ref="AH30:AJ30"/>
    <mergeCell ref="AK30:AO30"/>
    <mergeCell ref="B29:C30"/>
    <mergeCell ref="D29:M29"/>
    <mergeCell ref="N29:P29"/>
    <mergeCell ref="Q29:S29"/>
    <mergeCell ref="T29:W29"/>
    <mergeCell ref="X29:AC29"/>
    <mergeCell ref="B31:W31"/>
    <mergeCell ref="X31:AC31"/>
    <mergeCell ref="AD31:AI31"/>
    <mergeCell ref="AJ31:AO31"/>
    <mergeCell ref="D26:W26"/>
    <mergeCell ref="X26:Z26"/>
    <mergeCell ref="AA26:AB26"/>
    <mergeCell ref="AC26:AE26"/>
    <mergeCell ref="AF26:AG26"/>
    <mergeCell ref="AH26:AJ26"/>
    <mergeCell ref="AK26:AO26"/>
    <mergeCell ref="B27:C28"/>
    <mergeCell ref="D27:M27"/>
    <mergeCell ref="N27:P27"/>
    <mergeCell ref="Q27:S27"/>
    <mergeCell ref="T27:W27"/>
    <mergeCell ref="X27:AC27"/>
    <mergeCell ref="B25:C26"/>
    <mergeCell ref="D25:M25"/>
    <mergeCell ref="N25:P25"/>
    <mergeCell ref="Q25:S25"/>
    <mergeCell ref="T25:W25"/>
    <mergeCell ref="X25:AC25"/>
    <mergeCell ref="X28:Z28"/>
    <mergeCell ref="AA28:AB28"/>
    <mergeCell ref="AC28:AE28"/>
    <mergeCell ref="AF28:AG28"/>
    <mergeCell ref="AH28:AJ28"/>
    <mergeCell ref="AK28:AO28"/>
    <mergeCell ref="AH22:AJ22"/>
    <mergeCell ref="AK22:AO22"/>
    <mergeCell ref="X23:AC23"/>
    <mergeCell ref="AD23:AI23"/>
    <mergeCell ref="X22:Z22"/>
    <mergeCell ref="AA22:AB22"/>
    <mergeCell ref="AC22:AE22"/>
    <mergeCell ref="AD27:AI27"/>
    <mergeCell ref="AJ27:AO27"/>
    <mergeCell ref="AD25:AI25"/>
    <mergeCell ref="AJ25:AO25"/>
    <mergeCell ref="D24:M24"/>
    <mergeCell ref="N24:S24"/>
    <mergeCell ref="T24:W24"/>
    <mergeCell ref="B23:C24"/>
    <mergeCell ref="D23:M23"/>
    <mergeCell ref="N23:P23"/>
    <mergeCell ref="Q23:S23"/>
    <mergeCell ref="T23:W23"/>
    <mergeCell ref="AJ23:AO23"/>
    <mergeCell ref="X24:Z24"/>
    <mergeCell ref="AA24:AB24"/>
    <mergeCell ref="AC24:AE24"/>
    <mergeCell ref="AF24:AG24"/>
    <mergeCell ref="AH24:AJ24"/>
    <mergeCell ref="AK24:AO24"/>
    <mergeCell ref="J20:M20"/>
    <mergeCell ref="N20:O20"/>
    <mergeCell ref="P20:Q20"/>
    <mergeCell ref="AH20:AJ20"/>
    <mergeCell ref="AK20:AO20"/>
    <mergeCell ref="B21:C22"/>
    <mergeCell ref="D21:M21"/>
    <mergeCell ref="N21:P21"/>
    <mergeCell ref="Q21:S21"/>
    <mergeCell ref="T21:W21"/>
    <mergeCell ref="X21:AC21"/>
    <mergeCell ref="AD21:AI21"/>
    <mergeCell ref="AJ21:AO21"/>
    <mergeCell ref="R20:T20"/>
    <mergeCell ref="U20:W20"/>
    <mergeCell ref="X20:Z20"/>
    <mergeCell ref="AA20:AB20"/>
    <mergeCell ref="AC20:AE20"/>
    <mergeCell ref="AF20:AG20"/>
    <mergeCell ref="D22:W22"/>
    <mergeCell ref="AF22:AG22"/>
    <mergeCell ref="AK14:AO14"/>
    <mergeCell ref="B18:C20"/>
    <mergeCell ref="D18:M18"/>
    <mergeCell ref="N18:P18"/>
    <mergeCell ref="Q18:S18"/>
    <mergeCell ref="T18:W18"/>
    <mergeCell ref="X18:AC18"/>
    <mergeCell ref="AD18:AI18"/>
    <mergeCell ref="AJ18:AO18"/>
    <mergeCell ref="E19:G19"/>
    <mergeCell ref="H19:I19"/>
    <mergeCell ref="J19:M19"/>
    <mergeCell ref="N19:O19"/>
    <mergeCell ref="P19:Q19"/>
    <mergeCell ref="R19:T19"/>
    <mergeCell ref="U19:W19"/>
    <mergeCell ref="X19:Z19"/>
    <mergeCell ref="AA19:AB19"/>
    <mergeCell ref="AC19:AE19"/>
    <mergeCell ref="AF19:AG19"/>
    <mergeCell ref="AH19:AJ19"/>
    <mergeCell ref="AK19:AO19"/>
    <mergeCell ref="E20:G20"/>
    <mergeCell ref="H20:I20"/>
    <mergeCell ref="AH13:AJ13"/>
    <mergeCell ref="E13:G13"/>
    <mergeCell ref="H13:I13"/>
    <mergeCell ref="J13:M13"/>
    <mergeCell ref="N13:O13"/>
    <mergeCell ref="P13:Q13"/>
    <mergeCell ref="R13:T13"/>
    <mergeCell ref="AC14:AE14"/>
    <mergeCell ref="AF14:AG14"/>
    <mergeCell ref="AH14:AJ14"/>
    <mergeCell ref="B12:C14"/>
    <mergeCell ref="D12:M12"/>
    <mergeCell ref="N12:P12"/>
    <mergeCell ref="Q12:S12"/>
    <mergeCell ref="T12:W12"/>
    <mergeCell ref="X12:AC12"/>
    <mergeCell ref="AD12:AI12"/>
    <mergeCell ref="AJ12:AO12"/>
    <mergeCell ref="B10:C11"/>
    <mergeCell ref="AK13:AO13"/>
    <mergeCell ref="E14:G14"/>
    <mergeCell ref="H14:I14"/>
    <mergeCell ref="J14:M14"/>
    <mergeCell ref="N14:O14"/>
    <mergeCell ref="P14:Q14"/>
    <mergeCell ref="R14:T14"/>
    <mergeCell ref="U14:W14"/>
    <mergeCell ref="X14:Z14"/>
    <mergeCell ref="AA14:AB14"/>
    <mergeCell ref="U13:W13"/>
    <mergeCell ref="X13:Z13"/>
    <mergeCell ref="AA13:AB13"/>
    <mergeCell ref="AC13:AE13"/>
    <mergeCell ref="AF13:AG13"/>
    <mergeCell ref="T9:W9"/>
    <mergeCell ref="X9:AC9"/>
    <mergeCell ref="AD9:AI9"/>
    <mergeCell ref="AJ9:AO9"/>
    <mergeCell ref="AD10:AI10"/>
    <mergeCell ref="AJ10:AO10"/>
    <mergeCell ref="D11:F11"/>
    <mergeCell ref="G11:I11"/>
    <mergeCell ref="J11:L11"/>
    <mergeCell ref="M11:O11"/>
    <mergeCell ref="P11:S11"/>
    <mergeCell ref="U11:V11"/>
    <mergeCell ref="X11:AA11"/>
    <mergeCell ref="AC11:AF11"/>
    <mergeCell ref="D10:M10"/>
    <mergeCell ref="N10:P10"/>
    <mergeCell ref="Q10:S10"/>
    <mergeCell ref="T10:W10"/>
    <mergeCell ref="X10:AC10"/>
    <mergeCell ref="AH11:AL11"/>
    <mergeCell ref="AN11:AO11"/>
    <mergeCell ref="D75:AA75"/>
    <mergeCell ref="AB75:AC75"/>
    <mergeCell ref="AD75:AG75"/>
    <mergeCell ref="AH75:AK75"/>
    <mergeCell ref="AL75:AO75"/>
    <mergeCell ref="AD74:AG74"/>
    <mergeCell ref="B1:AO1"/>
    <mergeCell ref="B3:AO3"/>
    <mergeCell ref="B4:AD4"/>
    <mergeCell ref="AE4:AO4"/>
    <mergeCell ref="V28:W28"/>
    <mergeCell ref="R28:S28"/>
    <mergeCell ref="L28:M28"/>
    <mergeCell ref="D28:G28"/>
    <mergeCell ref="H28:K28"/>
    <mergeCell ref="N28:Q28"/>
    <mergeCell ref="T28:U28"/>
    <mergeCell ref="B7:AO7"/>
    <mergeCell ref="B8:AO8"/>
    <mergeCell ref="B9:C9"/>
    <mergeCell ref="D9:M9"/>
    <mergeCell ref="N9:S9"/>
    <mergeCell ref="B72:C72"/>
    <mergeCell ref="B73:C73"/>
    <mergeCell ref="AL71:AO71"/>
    <mergeCell ref="D72:AA72"/>
    <mergeCell ref="AB72:AC72"/>
    <mergeCell ref="AD72:AG72"/>
    <mergeCell ref="AH72:AK72"/>
    <mergeCell ref="AL72:AO72"/>
    <mergeCell ref="D73:AA73"/>
    <mergeCell ref="AB73:AC73"/>
    <mergeCell ref="AD73:AG73"/>
    <mergeCell ref="AH73:AK73"/>
    <mergeCell ref="AL73:AO73"/>
    <mergeCell ref="L82:R82"/>
    <mergeCell ref="AH70:AK70"/>
    <mergeCell ref="B67:AO67"/>
    <mergeCell ref="B80:AO80"/>
    <mergeCell ref="AL96:AO96"/>
    <mergeCell ref="AJ96:AK96"/>
    <mergeCell ref="B96:F96"/>
    <mergeCell ref="B74:C74"/>
    <mergeCell ref="B75:C75"/>
    <mergeCell ref="B76:C76"/>
    <mergeCell ref="D76:AA76"/>
    <mergeCell ref="AB76:AC76"/>
    <mergeCell ref="AD76:AG76"/>
    <mergeCell ref="AH76:AK76"/>
    <mergeCell ref="AL76:AO76"/>
    <mergeCell ref="G96:R96"/>
    <mergeCell ref="S96:V96"/>
    <mergeCell ref="W96:AI96"/>
    <mergeCell ref="B77:C77"/>
    <mergeCell ref="B78:C78"/>
    <mergeCell ref="B81:AO81"/>
    <mergeCell ref="B82:G82"/>
    <mergeCell ref="H82:K82"/>
    <mergeCell ref="B71:C71"/>
    <mergeCell ref="B15:C17"/>
    <mergeCell ref="D15:M15"/>
    <mergeCell ref="N15:P15"/>
    <mergeCell ref="Q15:S15"/>
    <mergeCell ref="T15:W15"/>
    <mergeCell ref="X15:AC15"/>
    <mergeCell ref="AD15:AI15"/>
    <mergeCell ref="AJ15:AO15"/>
    <mergeCell ref="E16:G16"/>
    <mergeCell ref="H16:I16"/>
    <mergeCell ref="J16:M16"/>
    <mergeCell ref="N16:O16"/>
    <mergeCell ref="P16:Q16"/>
    <mergeCell ref="R16:T16"/>
    <mergeCell ref="U16:W16"/>
    <mergeCell ref="X16:Z16"/>
    <mergeCell ref="AA16:AB16"/>
    <mergeCell ref="AC16:AE16"/>
    <mergeCell ref="AF16:AG16"/>
    <mergeCell ref="AH16:AJ16"/>
    <mergeCell ref="AK16:AO16"/>
    <mergeCell ref="E17:G17"/>
    <mergeCell ref="H17:I17"/>
    <mergeCell ref="J17:M17"/>
    <mergeCell ref="AK17:AO17"/>
    <mergeCell ref="N17:O17"/>
    <mergeCell ref="P17:Q17"/>
    <mergeCell ref="R17:T17"/>
    <mergeCell ref="U17:W17"/>
    <mergeCell ref="X17:Z17"/>
    <mergeCell ref="AA17:AB17"/>
    <mergeCell ref="AC17:AE17"/>
    <mergeCell ref="AF17:AG17"/>
    <mergeCell ref="AH17:AJ17"/>
  </mergeCells>
  <conditionalFormatting sqref="Q91:R91 AC91:AD91 B91:C91">
    <cfRule type="containsBlanks" dxfId="124" priority="99">
      <formula>LEN(TRIM(B91))=0</formula>
    </cfRule>
  </conditionalFormatting>
  <conditionalFormatting sqref="AF13:AG14 AF19:AG20 AF16:AG17">
    <cfRule type="cellIs" dxfId="123" priority="89" operator="between">
      <formula>1</formula>
      <formula>48</formula>
    </cfRule>
  </conditionalFormatting>
  <conditionalFormatting sqref="AA13:AB14">
    <cfRule type="cellIs" dxfId="122" priority="88" operator="greaterThan">
      <formula>11</formula>
    </cfRule>
  </conditionalFormatting>
  <conditionalFormatting sqref="AA19:AB20">
    <cfRule type="cellIs" dxfId="121" priority="86" operator="between">
      <formula>1</formula>
      <formula>11</formula>
    </cfRule>
    <cfRule type="cellIs" dxfId="120" priority="87" operator="greaterThan">
      <formula>19</formula>
    </cfRule>
  </conditionalFormatting>
  <conditionalFormatting sqref="AA24:AB24 AA26:AB26 AA28:AB28">
    <cfRule type="cellIs" dxfId="119" priority="83" operator="greaterThan">
      <formula>0</formula>
    </cfRule>
  </conditionalFormatting>
  <conditionalFormatting sqref="AF26:AG26 AF28:AG28">
    <cfRule type="cellIs" dxfId="118" priority="82" operator="between">
      <formula>1</formula>
      <formula>9</formula>
    </cfRule>
  </conditionalFormatting>
  <conditionalFormatting sqref="AF24:AG24">
    <cfRule type="cellIs" dxfId="117" priority="81" operator="between">
      <formula>1</formula>
      <formula>10</formula>
    </cfRule>
  </conditionalFormatting>
  <conditionalFormatting sqref="N30:O30">
    <cfRule type="expression" dxfId="116" priority="79">
      <formula>OR($N$30="0%",$N$30="&lt; 25%",$N$30="&lt; 50%")</formula>
    </cfRule>
  </conditionalFormatting>
  <conditionalFormatting sqref="AA22:AB22">
    <cfRule type="cellIs" dxfId="115" priority="76" operator="greaterThan">
      <formula>0</formula>
    </cfRule>
  </conditionalFormatting>
  <conditionalFormatting sqref="AF22:AG22">
    <cfRule type="cellIs" dxfId="114" priority="75" operator="between">
      <formula>1</formula>
      <formula>11</formula>
    </cfRule>
  </conditionalFormatting>
  <conditionalFormatting sqref="B10:C11">
    <cfRule type="expression" dxfId="113" priority="45">
      <formula>AND(NOT(ISBLANK(X10)),ISBLANK(B10))</formula>
    </cfRule>
  </conditionalFormatting>
  <conditionalFormatting sqref="B12:C14">
    <cfRule type="expression" dxfId="112" priority="44">
      <formula>AND(NOT(ISBLANK(X12)),ISBLANK(B12))</formula>
    </cfRule>
  </conditionalFormatting>
  <conditionalFormatting sqref="B18:C20">
    <cfRule type="expression" dxfId="111" priority="43">
      <formula>AND(NOT(ISBLANK(X18)),ISBLANK(B18))</formula>
    </cfRule>
  </conditionalFormatting>
  <conditionalFormatting sqref="B21:C22">
    <cfRule type="expression" dxfId="110" priority="42">
      <formula>AND(NOT(ISBLANK(X21)),ISBLANK(B21))</formula>
    </cfRule>
  </conditionalFormatting>
  <conditionalFormatting sqref="B23:C24">
    <cfRule type="expression" dxfId="109" priority="41">
      <formula>AND(NOT(ISBLANK(X23)),ISBLANK(B23))</formula>
    </cfRule>
  </conditionalFormatting>
  <conditionalFormatting sqref="B25:C26">
    <cfRule type="expression" dxfId="108" priority="40">
      <formula>AND(NOT(ISBLANK(X25)),ISBLANK(B25))</formula>
    </cfRule>
  </conditionalFormatting>
  <conditionalFormatting sqref="B27:C28">
    <cfRule type="expression" dxfId="107" priority="62">
      <formula>AND(NOT(ISBLANK(X27)),ISBLANK(B27))</formula>
    </cfRule>
  </conditionalFormatting>
  <conditionalFormatting sqref="B29:C30">
    <cfRule type="expression" dxfId="106" priority="38">
      <formula>AND(NOT(ISBLANK(X29)),ISBLANK(B29))</formula>
    </cfRule>
  </conditionalFormatting>
  <conditionalFormatting sqref="B35:C36">
    <cfRule type="expression" dxfId="105" priority="47">
      <formula>AND(NOT(ISBLANK(X35)),ISBLANK(B35))</formula>
    </cfRule>
  </conditionalFormatting>
  <conditionalFormatting sqref="B37:C38">
    <cfRule type="expression" dxfId="104" priority="37">
      <formula>AND(NOT(ISBLANK(X37)),ISBLANK(B37))</formula>
    </cfRule>
  </conditionalFormatting>
  <conditionalFormatting sqref="B39:C40">
    <cfRule type="expression" dxfId="103" priority="36">
      <formula>AND(NOT(ISBLANK(X39)),ISBLANK(B39))</formula>
    </cfRule>
  </conditionalFormatting>
  <conditionalFormatting sqref="B41:C42">
    <cfRule type="expression" dxfId="102" priority="46">
      <formula>AND(NOT(ISBLANK(X41)),ISBLANK(B41))</formula>
    </cfRule>
  </conditionalFormatting>
  <conditionalFormatting sqref="B43:C44">
    <cfRule type="expression" dxfId="101" priority="34">
      <formula>AND(NOT(ISBLANK(X43)),ISBLANK(B43))</formula>
    </cfRule>
  </conditionalFormatting>
  <conditionalFormatting sqref="B45:C46">
    <cfRule type="expression" dxfId="100" priority="33">
      <formula>AND(NOT(ISBLANK(X45)),ISBLANK(B45))</formula>
    </cfRule>
  </conditionalFormatting>
  <conditionalFormatting sqref="B47:C49">
    <cfRule type="expression" dxfId="99" priority="35">
      <formula>AND(NOT(ISBLANK(X47)),ISBLANK(B47))</formula>
    </cfRule>
  </conditionalFormatting>
  <conditionalFormatting sqref="B50:C52">
    <cfRule type="expression" dxfId="98" priority="32">
      <formula>AND(NOT(ISBLANK(X50)),ISBLANK(B50))</formula>
    </cfRule>
  </conditionalFormatting>
  <conditionalFormatting sqref="B57:C57">
    <cfRule type="expression" dxfId="97" priority="54">
      <formula>AND(NOT(ISBLANK(AD57)),ISBLANK(B57))</formula>
    </cfRule>
  </conditionalFormatting>
  <conditionalFormatting sqref="B58:C58">
    <cfRule type="expression" dxfId="96" priority="29">
      <formula>AND(NOT(ISBLANK(AD58)),ISBLANK(B58))</formula>
    </cfRule>
  </conditionalFormatting>
  <conditionalFormatting sqref="B59:C59">
    <cfRule type="expression" dxfId="95" priority="28">
      <formula>AND(NOT(ISBLANK(AD59)),ISBLANK(B59))</formula>
    </cfRule>
  </conditionalFormatting>
  <conditionalFormatting sqref="B60:C60">
    <cfRule type="expression" dxfId="94" priority="27">
      <formula>AND(NOT(ISBLANK(AD60)),ISBLANK(B60))</formula>
    </cfRule>
  </conditionalFormatting>
  <conditionalFormatting sqref="B61:C61">
    <cfRule type="expression" dxfId="93" priority="26">
      <formula>AND(NOT(ISBLANK(AD61)),ISBLANK(B61))</formula>
    </cfRule>
  </conditionalFormatting>
  <conditionalFormatting sqref="B62:C62">
    <cfRule type="expression" dxfId="92" priority="25">
      <formula>AND(NOT(ISBLANK(AD62)),ISBLANK(B62))</formula>
    </cfRule>
  </conditionalFormatting>
  <conditionalFormatting sqref="B63:C63">
    <cfRule type="expression" dxfId="91" priority="24">
      <formula>AND(NOT(ISBLANK(AD63)),ISBLANK(B63))</formula>
    </cfRule>
  </conditionalFormatting>
  <conditionalFormatting sqref="B64:C64">
    <cfRule type="expression" dxfId="90" priority="23">
      <formula>AND(NOT(ISBLANK(AD64)),ISBLANK(B64))</formula>
    </cfRule>
  </conditionalFormatting>
  <conditionalFormatting sqref="B65:C65">
    <cfRule type="expression" dxfId="89" priority="22">
      <formula>AND(NOT(ISBLANK(AD65)),ISBLANK(B65))</formula>
    </cfRule>
  </conditionalFormatting>
  <conditionalFormatting sqref="B70:C70">
    <cfRule type="expression" dxfId="88" priority="21">
      <formula>AND(NOT(ISBLANK(AD70)),ISBLANK(B70))</formula>
    </cfRule>
  </conditionalFormatting>
  <conditionalFormatting sqref="B71:C71">
    <cfRule type="expression" dxfId="87" priority="20">
      <formula>AND(NOT(ISBLANK(AD71)),ISBLANK(B71))</formula>
    </cfRule>
  </conditionalFormatting>
  <conditionalFormatting sqref="B72:C72">
    <cfRule type="expression" dxfId="86" priority="19">
      <formula>AND(NOT(ISBLANK(AD72)),ISBLANK(B72))</formula>
    </cfRule>
  </conditionalFormatting>
  <conditionalFormatting sqref="B73:C73">
    <cfRule type="expression" dxfId="85" priority="18">
      <formula>AND(NOT(ISBLANK(AD73)),ISBLANK(B73))</formula>
    </cfRule>
  </conditionalFormatting>
  <conditionalFormatting sqref="B74:C74">
    <cfRule type="expression" dxfId="84" priority="17">
      <formula>AND(NOT(ISBLANK(AD74)),ISBLANK(B74))</formula>
    </cfRule>
  </conditionalFormatting>
  <conditionalFormatting sqref="B75:C75">
    <cfRule type="expression" dxfId="83" priority="16">
      <formula>AND(NOT(ISBLANK(AD75)),ISBLANK(B75))</formula>
    </cfRule>
  </conditionalFormatting>
  <conditionalFormatting sqref="B76:C76">
    <cfRule type="expression" dxfId="82" priority="15">
      <formula>AND(NOT(ISBLANK(AD76)),ISBLANK(B76))</formula>
    </cfRule>
  </conditionalFormatting>
  <conditionalFormatting sqref="B77:C77">
    <cfRule type="expression" dxfId="81" priority="14">
      <formula>AND(NOT(ISBLANK(AD77)),ISBLANK(B77))</formula>
    </cfRule>
  </conditionalFormatting>
  <conditionalFormatting sqref="B78:C78">
    <cfRule type="expression" dxfId="80" priority="13">
      <formula>AND(NOT(ISBLANK(AD78)),ISBLANK(B78))</formula>
    </cfRule>
  </conditionalFormatting>
  <conditionalFormatting sqref="AA16:AB17">
    <cfRule type="cellIs" dxfId="79" priority="3" operator="between">
      <formula>1</formula>
      <formula>11</formula>
    </cfRule>
    <cfRule type="cellIs" dxfId="78" priority="4" operator="greaterThan">
      <formula>19</formula>
    </cfRule>
  </conditionalFormatting>
  <conditionalFormatting sqref="B15:C17">
    <cfRule type="expression" dxfId="77" priority="2">
      <formula>AND(NOT(ISBLANK(X15)),ISBLANK(B15))</formula>
    </cfRule>
  </conditionalFormatting>
  <dataValidations count="2">
    <dataValidation type="list" allowBlank="1" showInputMessage="1" showErrorMessage="1" sqref="B91 Q91:R91 AC91:AD91" xr:uid="{FBE0B4B4-68D6-4F19-9CAE-CC93F10E2062}">
      <formula1>"Yes,No"</formula1>
    </dataValidation>
    <dataValidation type="list" allowBlank="1" showInputMessage="1" showErrorMessage="1" sqref="AO46 AO44" xr:uid="{255175D3-E9D5-476B-8DBB-80094B78F890}">
      <formula1>"X"</formula1>
    </dataValidation>
  </dataValidations>
  <hyperlinks>
    <hyperlink ref="AE4:AO4" r:id="rId1" display="ResidentialEEApplications@ameren.com" xr:uid="{8C6E4A5E-0EA2-4A01-B89C-90C32F2F6E7E}"/>
  </hyperlinks>
  <pageMargins left="0.7" right="0.7" top="0.75" bottom="0.75" header="0.3" footer="0.3"/>
  <pageSetup scale="85" fitToHeight="0" orientation="portrait" horizontalDpi="1200" verticalDpi="1200" r:id="rId2"/>
  <rowBreaks count="1" manualBreakCount="1">
    <brk id="80" max="16383" man="1"/>
  </rowBreaks>
  <drawing r:id="rId3"/>
  <legacyDrawing r:id="rId4"/>
  <extLst>
    <ext xmlns:x14="http://schemas.microsoft.com/office/spreadsheetml/2009/9/main" uri="{78C0D931-6437-407d-A8EE-F0AAD7539E65}">
      <x14:conditionalFormattings>
        <x14:conditionalFormatting xmlns:xm="http://schemas.microsoft.com/office/excel/2006/main">
          <x14:cfRule type="expression" priority="67" id="{00000000-000E-0000-0200-00000D000000}">
            <xm:f>AND($AD$44&lt;90,$D$43=Measures!$I$4)</xm:f>
            <x14:dxf>
              <fill>
                <patternFill>
                  <bgColor rgb="FFFF5050"/>
                </patternFill>
              </fill>
            </x14:dxf>
          </x14:cfRule>
          <xm:sqref>AD44:AE44</xm:sqref>
        </x14:conditionalFormatting>
        <x14:conditionalFormatting xmlns:xm="http://schemas.microsoft.com/office/excel/2006/main">
          <x14:cfRule type="expression" priority="50" id="{00000000-000E-0000-0200-00000B000000}">
            <xm:f>AND($AD$48&lt;15.2,$D$47=Measures!$I$14)</xm:f>
            <x14:dxf>
              <fill>
                <patternFill>
                  <bgColor rgb="FFFF5050"/>
                </patternFill>
              </fill>
            </x14:dxf>
          </x14:cfRule>
          <xm:sqref>AD48</xm:sqref>
        </x14:conditionalFormatting>
        <x14:conditionalFormatting xmlns:xm="http://schemas.microsoft.com/office/excel/2006/main">
          <x14:cfRule type="expression" priority="60" id="{00000000-000E-0000-0200-000005000000}">
            <xm:f>AND($AN$51&lt;8.1,$D$50=Measures!$I$15)</xm:f>
            <x14:dxf>
              <fill>
                <patternFill>
                  <bgColor rgb="FFFF5050"/>
                </patternFill>
              </fill>
            </x14:dxf>
          </x14:cfRule>
          <xm:sqref>AN51:AO51</xm:sqref>
        </x14:conditionalFormatting>
        <x14:conditionalFormatting xmlns:xm="http://schemas.microsoft.com/office/excel/2006/main">
          <x14:cfRule type="expression" priority="66" id="{D0D24636-CC81-453C-96B9-92169D5DB159}">
            <xm:f>AND($AD$44&lt;95,$D$43=Measures!$I$3)</xm:f>
            <x14:dxf>
              <fill>
                <patternFill>
                  <bgColor rgb="FFFF5050"/>
                </patternFill>
              </fill>
            </x14:dxf>
          </x14:cfRule>
          <xm:sqref>AD44:AE44</xm:sqref>
        </x14:conditionalFormatting>
        <x14:conditionalFormatting xmlns:xm="http://schemas.microsoft.com/office/excel/2006/main">
          <x14:cfRule type="expression" priority="31" stopIfTrue="1" id="{2B4E77E1-BF02-40B2-BDEA-03FE6C6D3A28}">
            <xm:f>TRIM('Project Information'!$J$9)=""</xm:f>
            <x14:dxf>
              <font>
                <color theme="0" tint="-0.14996795556505021"/>
              </font>
              <fill>
                <patternFill>
                  <bgColor theme="0"/>
                </patternFill>
              </fill>
            </x14:dxf>
          </x14:cfRule>
          <xm:sqref>B41:AO42 B35:AO36 B47:AO52</xm:sqref>
        </x14:conditionalFormatting>
        <x14:conditionalFormatting xmlns:xm="http://schemas.microsoft.com/office/excel/2006/main">
          <x14:cfRule type="expression" priority="39" id="{CFCEFAC5-0ED8-4379-BC71-28C7F2E540B5}">
            <xm:f>'Project Information'!$R$9=Lists!$G$4</xm:f>
            <x14:dxf>
              <font>
                <color theme="0" tint="-0.14996795556505021"/>
              </font>
              <fill>
                <patternFill>
                  <bgColor theme="0"/>
                </patternFill>
              </fill>
            </x14:dxf>
          </x14:cfRule>
          <xm:sqref>B25:AO28</xm:sqref>
        </x14:conditionalFormatting>
        <x14:conditionalFormatting xmlns:xm="http://schemas.microsoft.com/office/excel/2006/main">
          <x14:cfRule type="expression" priority="5" stopIfTrue="1" id="{893AC6EF-1230-4728-8E38-33EFD1282E89}">
            <xm:f>'Project Information'!$F$12=Measures!$D$1</xm:f>
            <x14:dxf>
              <fill>
                <patternFill>
                  <bgColor theme="0" tint="-0.24994659260841701"/>
                </patternFill>
              </fill>
            </x14:dxf>
          </x14:cfRule>
          <xm:sqref>B39:AO52</xm:sqref>
        </x14:conditionalFormatting>
        <x14:conditionalFormatting xmlns:xm="http://schemas.microsoft.com/office/excel/2006/main">
          <x14:cfRule type="expression" priority="55" id="{BA6FD378-D817-489A-A25A-2647A9C4D24B}">
            <xm:f>AND('Project Score'!$C$34&gt;0,'Project Score'!$C$34&lt;=1)</xm:f>
            <x14:dxf>
              <fill>
                <patternFill>
                  <bgColor rgb="FF92D050"/>
                </patternFill>
              </fill>
            </x14:dxf>
          </x14:cfRule>
          <x14:cfRule type="expression" priority="57" id="{F11BBC23-858E-4E55-89C1-071D13FD951E}">
            <xm:f>'Project Score'!C$34&gt;2</xm:f>
            <x14:dxf>
              <fill>
                <patternFill>
                  <bgColor rgb="FFFF0000"/>
                </patternFill>
              </fill>
            </x14:dxf>
          </x14:cfRule>
          <xm:sqref>AT89</xm:sqref>
        </x14:conditionalFormatting>
        <x14:conditionalFormatting xmlns:xm="http://schemas.microsoft.com/office/excel/2006/main">
          <x14:cfRule type="expression" priority="56" id="{7179220B-7957-45CF-AA66-AD619E265DEB}">
            <xm:f>AND('Project Score'!$C$34&gt;1,'Project Score'!$C$34&lt;=2)</xm:f>
            <x14:dxf>
              <fill>
                <patternFill>
                  <bgColor rgb="FFFFFF00"/>
                </patternFill>
              </fill>
            </x14:dxf>
          </x14:cfRule>
          <xm:sqref>AT89</xm:sqref>
        </x14:conditionalFormatting>
        <x14:conditionalFormatting xmlns:xm="http://schemas.microsoft.com/office/excel/2006/main">
          <x14:cfRule type="expression" priority="12" stopIfTrue="1" id="{DFE0B0C9-6A97-43D9-B788-F6628606DF9C}">
            <xm:f>'Project Information'!$F$12=Measures!$D$1</xm:f>
            <x14:dxf>
              <fill>
                <patternFill>
                  <bgColor theme="0" tint="-0.24994659260841701"/>
                </patternFill>
              </fill>
            </x14:dxf>
          </x14:cfRule>
          <xm:sqref>B57:AO65 B70:AO78</xm:sqref>
        </x14:conditionalFormatting>
        <x14:conditionalFormatting xmlns:xm="http://schemas.microsoft.com/office/excel/2006/main">
          <x14:cfRule type="expression" priority="53" id="{1D1CF1B3-A7CB-4527-91B8-457FEA42194E}">
            <xm:f>AND($AD$46&lt;95,$D$45=Measures!$I$3)</xm:f>
            <x14:dxf>
              <fill>
                <patternFill>
                  <bgColor rgb="FFFF5050"/>
                </patternFill>
              </fill>
            </x14:dxf>
          </x14:cfRule>
          <x14:cfRule type="expression" priority="59" id="{9B3345EA-D64B-4756-96DE-AB67BF171C49}">
            <xm:f>AND($AD$46&lt;90,$D$45=Measures!$I$4)</xm:f>
            <x14:dxf>
              <fill>
                <patternFill>
                  <bgColor rgb="FFFF5050"/>
                </patternFill>
              </fill>
            </x14:dxf>
          </x14:cfRule>
          <xm:sqref>AD46:AE46</xm:sqref>
        </x14:conditionalFormatting>
        <x14:conditionalFormatting xmlns:xm="http://schemas.microsoft.com/office/excel/2006/main">
          <x14:cfRule type="expression" priority="63" id="{CD9CF841-8C00-4379-97A5-42C8A76FBDE1}">
            <xm:f>AND($AI$48&lt;11.88,$D$47=Measures!$I$18)</xm:f>
            <x14:dxf>
              <fill>
                <patternFill>
                  <bgColor rgb="FFFF5050"/>
                </patternFill>
              </fill>
            </x14:dxf>
          </x14:cfRule>
          <xm:sqref>AI48:AK48</xm:sqref>
        </x14:conditionalFormatting>
        <x14:conditionalFormatting xmlns:xm="http://schemas.microsoft.com/office/excel/2006/main">
          <x14:cfRule type="expression" priority="52" id="{39277E98-4720-490D-A66C-0799642B649C}">
            <xm:f>AND($AI$51&lt;11.88,$D$50=Measures!$I$18)</xm:f>
            <x14:dxf>
              <fill>
                <patternFill>
                  <bgColor rgb="FFFF5050"/>
                </patternFill>
              </fill>
            </x14:dxf>
          </x14:cfRule>
          <xm:sqref>AI51:AK51</xm:sqref>
        </x14:conditionalFormatting>
        <x14:conditionalFormatting xmlns:xm="http://schemas.microsoft.com/office/excel/2006/main">
          <x14:cfRule type="expression" priority="51" id="{8A3D8A01-674D-41BE-AFA3-B30F92F7FF10}">
            <xm:f>AND($AN$48&lt;8.1,$D$47=Measures!$I$15)</xm:f>
            <x14:dxf>
              <fill>
                <patternFill>
                  <bgColor rgb="FFFF5050"/>
                </patternFill>
              </fill>
            </x14:dxf>
          </x14:cfRule>
          <xm:sqref>AN48:AO48</xm:sqref>
        </x14:conditionalFormatting>
        <x14:conditionalFormatting xmlns:xm="http://schemas.microsoft.com/office/excel/2006/main">
          <x14:cfRule type="expression" priority="65" id="{E5855699-F9EF-4FC9-8482-A56900C9706F}">
            <xm:f>AND($AD$48&lt;15.2,$D$47=Measures!$I$15)</xm:f>
            <x14:dxf>
              <fill>
                <patternFill>
                  <bgColor rgb="FFFF5050"/>
                </patternFill>
              </fill>
            </x14:dxf>
          </x14:cfRule>
          <xm:sqref>AD48:AF48</xm:sqref>
        </x14:conditionalFormatting>
        <x14:conditionalFormatting xmlns:xm="http://schemas.microsoft.com/office/excel/2006/main">
          <x14:cfRule type="expression" priority="48" id="{B2E414E8-00A6-42B6-B349-CDB187F37960}">
            <xm:f>AND($AD$51&lt;15.2,$D$50=Measures!$I$14)</xm:f>
            <x14:dxf>
              <fill>
                <patternFill>
                  <bgColor rgb="FFFF5050"/>
                </patternFill>
              </fill>
            </x14:dxf>
          </x14:cfRule>
          <x14:cfRule type="expression" priority="49" id="{79345A9C-F0C3-4736-8947-8D762BC175A9}">
            <xm:f>AND($AD$51&lt;15.2,$D$50=Measures!$I$15)</xm:f>
            <x14:dxf>
              <fill>
                <patternFill>
                  <bgColor rgb="FFFF5050"/>
                </patternFill>
              </fill>
            </x14:dxf>
          </x14:cfRule>
          <xm:sqref>AD51:AF51</xm:sqref>
        </x14:conditionalFormatting>
        <x14:conditionalFormatting xmlns:xm="http://schemas.microsoft.com/office/excel/2006/main">
          <x14:cfRule type="expression" priority="7" stopIfTrue="1" id="{A15A2858-95B3-4C7E-9909-6106290A564E}">
            <xm:f>TRIM('Project Information'!$J$9)=""</xm:f>
            <x14:dxf>
              <font>
                <color theme="0" tint="-0.14996795556505021"/>
              </font>
              <fill>
                <patternFill>
                  <bgColor theme="0"/>
                </patternFill>
              </fill>
            </x14:dxf>
          </x14:cfRule>
          <xm:sqref>AL44 AL46</xm:sqref>
        </x14:conditionalFormatting>
        <x14:conditionalFormatting xmlns:xm="http://schemas.microsoft.com/office/excel/2006/main">
          <x14:cfRule type="expression" priority="30" id="{D81EEC56-4BAF-49E0-8650-F85C45E5751B}">
            <xm:f>'Project Information'!$J$9="X"</xm:f>
            <x14:dxf>
              <fill>
                <patternFill>
                  <bgColor theme="0" tint="-4.9989318521683403E-2"/>
                </patternFill>
              </fill>
            </x14:dxf>
          </x14:cfRule>
          <xm:sqref>AO44 AO46</xm:sqref>
        </x14:conditionalFormatting>
        <x14:conditionalFormatting xmlns:xm="http://schemas.microsoft.com/office/excel/2006/main">
          <x14:cfRule type="expression" priority="8" stopIfTrue="1" id="{E9B2F453-98AD-4FEF-81F9-90DA97491DC7}">
            <xm:f>TRIM('Project Information'!$F$9)=""</xm:f>
            <x14:dxf>
              <font>
                <color theme="0" tint="-0.14996795556505021"/>
              </font>
              <fill>
                <patternFill>
                  <bgColor theme="0"/>
                </patternFill>
              </fill>
            </x14:dxf>
          </x14:cfRule>
          <xm:sqref>D43:AO43 D44:AK44 B43:C46 D45:AO45 D46:AK46</xm:sqref>
        </x14:conditionalFormatting>
        <x14:conditionalFormatting xmlns:xm="http://schemas.microsoft.com/office/excel/2006/main">
          <x14:cfRule type="expression" priority="6" id="{A0072D60-268A-446F-B010-1566B5282F64}">
            <xm:f>'Project Information'!$F$12=Measures!$D$1</xm:f>
            <x14:dxf>
              <fill>
                <patternFill>
                  <bgColor theme="0" tint="-0.24994659260841701"/>
                </patternFill>
              </fill>
            </x14:dxf>
          </x14:cfRule>
          <xm:sqref>AB82:AE83</xm:sqref>
        </x14:conditionalFormatting>
        <x14:conditionalFormatting xmlns:xm="http://schemas.microsoft.com/office/excel/2006/main">
          <x14:cfRule type="expression" priority="9" stopIfTrue="1" id="{06E18561-1E82-4DE6-8099-EA71C21DAEE8}">
            <xm:f>AND(TRIM('Project Information'!$F$9)="",'Project Information'!$J$9="X")</xm:f>
            <x14:dxf>
              <font>
                <color theme="0" tint="-0.14996795556505021"/>
              </font>
              <fill>
                <patternFill>
                  <bgColor theme="0"/>
                </patternFill>
              </fill>
            </x14:dxf>
          </x14:cfRule>
          <xm:sqref>AL44:AO44 AL46:AO46</xm:sqref>
        </x14:conditionalFormatting>
        <x14:conditionalFormatting xmlns:xm="http://schemas.microsoft.com/office/excel/2006/main">
          <x14:cfRule type="expression" priority="1" id="{8644DA86-7DF7-4B85-9DF4-5CCBF23B349A}">
            <xm:f>'Project Information'!$D$27&lt;&gt;Lists!$A$12</xm:f>
            <x14:dxf>
              <font>
                <color theme="0" tint="-0.14996795556505021"/>
              </font>
              <fill>
                <patternFill>
                  <bgColor theme="0"/>
                </patternFill>
              </fill>
            </x14:dxf>
          </x14:cfRule>
          <xm:sqref>B18:AO20</xm:sqref>
        </x14:conditionalFormatting>
      </x14:conditionalFormattings>
    </ext>
    <ext xmlns:x14="http://schemas.microsoft.com/office/spreadsheetml/2009/9/main" uri="{CCE6A557-97BC-4b89-ADB6-D9C93CAAB3DF}">
      <x14:dataValidations xmlns:xm="http://schemas.microsoft.com/office/excel/2006/main" count="20">
        <x14:dataValidation type="list" allowBlank="1" showInputMessage="1" showErrorMessage="1" xr:uid="{48C1DF05-9603-4C30-8B59-EB01B01B086C}">
          <x14:formula1>
            <xm:f>Lists!$J$11:$J$15</xm:f>
          </x14:formula1>
          <xm:sqref>T41:W41</xm:sqref>
        </x14:dataValidation>
        <x14:dataValidation type="list" allowBlank="1" showInputMessage="1" showErrorMessage="1" xr:uid="{662C17A0-CDF4-431D-BE28-2F9AC4E318E2}">
          <x14:formula1>
            <xm:f>Measures!$I$7:$I$9</xm:f>
          </x14:formula1>
          <xm:sqref>D45:M45</xm:sqref>
        </x14:dataValidation>
        <x14:dataValidation type="list" allowBlank="1" showInputMessage="1" showErrorMessage="1" xr:uid="{FFD22F3A-BB91-4FC1-B65D-4C4D7A0C5EDD}">
          <x14:formula1>
            <xm:f>Lists!$D$17:$D$21</xm:f>
          </x14:formula1>
          <xm:sqref>AK30:AO30</xm:sqref>
        </x14:dataValidation>
        <x14:dataValidation type="list" allowBlank="1" showInputMessage="1" showErrorMessage="1" xr:uid="{A346B237-98B5-4C84-B4D9-7EE37862AA8E}">
          <x14:formula1>
            <xm:f>Lists!$J$11:$J$12</xm:f>
          </x14:formula1>
          <xm:sqref>T29:W29 T35:W35 T37:W37 T39:W39 T50:W50 T43:W43 T45:W45 T47:W47</xm:sqref>
        </x14:dataValidation>
        <x14:dataValidation type="list" allowBlank="1" showInputMessage="1" showErrorMessage="1" xr:uid="{272BB5A7-375D-4CE3-942D-E72C26BC0C7C}">
          <x14:formula1>
            <xm:f>Lists!$A$18:$A$23</xm:f>
          </x14:formula1>
          <xm:sqref>AK24:AO24 AK26:AO26 AK28:AO28 AK22:AO22</xm:sqref>
        </x14:dataValidation>
        <x14:dataValidation type="list" allowBlank="1" showInputMessage="1" showErrorMessage="1" xr:uid="{92DEC7EC-D8C9-4314-9EC7-5BAE38BB24E4}">
          <x14:formula1>
            <xm:f>Lists!$A$35:$A$40</xm:f>
          </x14:formula1>
          <xm:sqref>N30:O30</xm:sqref>
        </x14:dataValidation>
        <x14:dataValidation type="list" allowBlank="1" showInputMessage="1" showErrorMessage="1" xr:uid="{C95296B7-EE8E-41C1-B05C-4B8DB441F11D}">
          <x14:formula1>
            <xm:f>Lists!$A$29:$A$32</xm:f>
          </x14:formula1>
          <xm:sqref>U19:W20 U13:W14 U16:W17</xm:sqref>
        </x14:dataValidation>
        <x14:dataValidation type="list" allowBlank="1" showInputMessage="1" showErrorMessage="1" xr:uid="{D0D4D93F-7DD5-45CB-9456-1E1D3F1235E4}">
          <x14:formula1>
            <xm:f>Measures!$I$25:$I$27</xm:f>
          </x14:formula1>
          <xm:sqref>D27:M27</xm:sqref>
        </x14:dataValidation>
        <x14:dataValidation type="list" allowBlank="1" showInputMessage="1" showErrorMessage="1" xr:uid="{111AE7E9-963C-493D-AD38-F522FE0B1A59}">
          <x14:formula1>
            <xm:f>Measures!$I$29:$I$31</xm:f>
          </x14:formula1>
          <xm:sqref>D35:M35</xm:sqref>
        </x14:dataValidation>
        <x14:dataValidation type="list" allowBlank="1" showInputMessage="1" showErrorMessage="1" xr:uid="{E95B821A-D89E-46EB-91A8-F00DEC2FEDC0}">
          <x14:formula1>
            <xm:f>Measures!$I$37:$I$39</xm:f>
          </x14:formula1>
          <xm:sqref>D39:M39</xm:sqref>
        </x14:dataValidation>
        <x14:dataValidation type="list" allowBlank="1" showInputMessage="1" showErrorMessage="1" xr:uid="{8185532C-016B-4C25-A736-BB9A5C74D108}">
          <x14:formula1>
            <xm:f>Measures!$I$2:$I$4</xm:f>
          </x14:formula1>
          <xm:sqref>D43:M43</xm:sqref>
        </x14:dataValidation>
        <x14:dataValidation type="list" allowBlank="1" showInputMessage="1" showErrorMessage="1" xr:uid="{13CC2702-962B-417C-B8E4-2FCA06A5317E}">
          <x14:formula1>
            <xm:f>IF('Project Information'!$U$12="X",Measures!$I$13:$I$15,Measures!$N$13:$N$14)</xm:f>
          </x14:formula1>
          <xm:sqref>D47:M47</xm:sqref>
        </x14:dataValidation>
        <x14:dataValidation type="list" allowBlank="1" showInputMessage="1" showErrorMessage="1" xr:uid="{77E9FA20-81BF-4BD2-AC07-DFAD0CBFEB00}">
          <x14:formula1>
            <xm:f>IF('Project Information'!$U$12="X",Measures!$I$17:$I$19,Measures!$N$17:$N$18)</xm:f>
          </x14:formula1>
          <xm:sqref>D50:M50</xm:sqref>
        </x14:dataValidation>
        <x14:dataValidation type="list" allowBlank="1" showInputMessage="1" showErrorMessage="1" xr:uid="{9166843B-034E-4D6E-A393-39497924DF72}">
          <x14:formula1>
            <xm:f>Lists!$L$1:$L$2</xm:f>
          </x14:formula1>
          <xm:sqref>T11 W11 AB11 AG11 AM11</xm:sqref>
        </x14:dataValidation>
        <x14:dataValidation type="list" allowBlank="1" showInputMessage="1" showErrorMessage="1" xr:uid="{99E437E1-AC66-432B-BBD3-C0E4917659F1}">
          <x14:formula1>
            <xm:f>Lists!$A$18:$A$26</xm:f>
          </x14:formula1>
          <xm:sqref>J19:M20 J13:M14 J16:M17</xm:sqref>
        </x14:dataValidation>
        <x14:dataValidation type="list" allowBlank="1" showInputMessage="1" showErrorMessage="1" xr:uid="{B70D5F5D-976F-41C0-870C-6884376533C7}">
          <x14:formula1>
            <xm:f>Lists!$A$18:$A$20</xm:f>
          </x14:formula1>
          <xm:sqref>AK19:AO20 AK13:AO14 AK16:AO17</xm:sqref>
        </x14:dataValidation>
        <x14:dataValidation type="list" allowBlank="1" showInputMessage="1" showErrorMessage="1" xr:uid="{158DBC62-6FAB-4FA1-9DDD-408E5B4B7B97}">
          <x14:formula1>
            <xm:f>Lists!$J$6:$J$8</xm:f>
          </x14:formula1>
          <xm:sqref>B35:C52 B57:C65 B70:C78 B10:C30</xm:sqref>
        </x14:dataValidation>
        <x14:dataValidation type="list" allowBlank="1" showInputMessage="1" showErrorMessage="1" xr:uid="{9582D867-4467-48B3-87DA-B4BA8E11F96D}">
          <x14:formula1>
            <xm:f>Lists!$A$34:$A$40</xm:f>
          </x14:formula1>
          <xm:sqref>N24:S24</xm:sqref>
        </x14:dataValidation>
        <x14:dataValidation type="list" errorStyle="warning" allowBlank="1" showInputMessage="1" showErrorMessage="1" xr:uid="{3635DE75-5880-4B65-BB35-98B842121C85}">
          <x14:formula1>
            <xm:f>'HE-PY24 Pricing'!$A$17:$A$43</xm:f>
          </x14:formula1>
          <xm:sqref>D57:D65</xm:sqref>
        </x14:dataValidation>
        <x14:dataValidation type="list" errorStyle="warning" allowBlank="1" showInputMessage="1" showErrorMessage="1" xr:uid="{575D0829-13CB-481D-B3D5-965BDDC4A096}">
          <x14:formula1>
            <xm:f>Lists!$M$24:$M$65</xm:f>
          </x14:formula1>
          <xm:sqref>D70:AA78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486679-36CC-46BC-A8D6-21363A591C9F}">
  <dimension ref="A1:EF59"/>
  <sheetViews>
    <sheetView zoomScale="85" zoomScaleNormal="85" workbookViewId="0">
      <selection activeCell="A39" sqref="A39:B39"/>
    </sheetView>
  </sheetViews>
  <sheetFormatPr defaultRowHeight="14.4"/>
  <cols>
    <col min="1" max="32" width="2.6640625" customWidth="1"/>
    <col min="33" max="33" width="2.6640625" style="4" customWidth="1"/>
    <col min="34" max="48" width="2.6640625" customWidth="1"/>
    <col min="49" max="49" width="2.6640625" style="219" customWidth="1"/>
    <col min="50" max="148" width="2.6640625" customWidth="1"/>
  </cols>
  <sheetData>
    <row r="1" spans="1:116" ht="18" customHeight="1">
      <c r="A1" s="252" t="s">
        <v>458</v>
      </c>
      <c r="B1" s="252"/>
      <c r="C1" s="252"/>
      <c r="D1" s="252"/>
      <c r="E1" s="252"/>
      <c r="F1" s="252"/>
      <c r="G1" s="252"/>
      <c r="H1" s="252"/>
      <c r="I1" s="252"/>
      <c r="J1" s="252"/>
      <c r="K1" s="252"/>
      <c r="L1" s="252"/>
      <c r="M1" s="252"/>
      <c r="N1" s="981"/>
      <c r="O1" s="981"/>
      <c r="P1" s="981"/>
      <c r="Q1" s="4" t="s">
        <v>640</v>
      </c>
      <c r="R1" s="4"/>
      <c r="S1" s="4"/>
      <c r="T1" s="4"/>
      <c r="U1" s="4"/>
      <c r="V1" s="4"/>
      <c r="W1" s="4"/>
      <c r="X1" s="4"/>
      <c r="Y1" s="4"/>
      <c r="Z1" s="4"/>
      <c r="AA1" s="4"/>
      <c r="AB1" s="4"/>
      <c r="AC1" s="4"/>
      <c r="AD1" s="4"/>
      <c r="AE1" s="4"/>
      <c r="AF1" s="4"/>
      <c r="AH1" s="252" t="s">
        <v>459</v>
      </c>
      <c r="AI1" s="4"/>
      <c r="AJ1" s="4"/>
      <c r="AK1" s="4"/>
      <c r="AL1" s="4"/>
      <c r="AM1" s="4"/>
      <c r="AN1" s="4"/>
      <c r="AO1" s="4"/>
      <c r="AP1" s="4"/>
      <c r="AQ1" s="4"/>
      <c r="AR1" s="4"/>
      <c r="AS1" s="4"/>
      <c r="AT1" s="1047">
        <f>IF(OR('Project Information'!D27=Lists!A10,'Project Information'!D27=Lists!A11,'Project Information'!D27=Lists!A14,'Project Information'!D27=Lists!A15),"GAS",IF(OR('Project Information'!D27=Lists!A12,'Project Information'!D27=Lists!A13),"ELECTRIC",0))</f>
        <v>0</v>
      </c>
      <c r="AU1" s="1047"/>
      <c r="AV1" s="1047"/>
      <c r="AW1" s="254"/>
      <c r="AX1" s="4"/>
      <c r="AY1" s="4"/>
      <c r="AZ1" s="4"/>
      <c r="BA1" s="4"/>
      <c r="BB1" s="4"/>
      <c r="BC1" s="4"/>
      <c r="BD1" s="4"/>
      <c r="BE1" s="4"/>
      <c r="BF1" s="1074"/>
      <c r="BG1" s="1074"/>
      <c r="BH1" s="1074"/>
      <c r="BI1" s="1074"/>
      <c r="BJ1" s="1046" t="s">
        <v>509</v>
      </c>
      <c r="BK1" s="1046"/>
      <c r="BL1" s="1046"/>
      <c r="BM1" s="1046"/>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row>
    <row r="2" spans="1:116" s="2" customFormat="1" ht="18" customHeight="1">
      <c r="A2" s="258" t="s">
        <v>379</v>
      </c>
      <c r="B2" s="258"/>
      <c r="C2" s="258"/>
      <c r="D2" s="1056">
        <f>'Project Information'!M12</f>
        <v>0</v>
      </c>
      <c r="E2" s="1056"/>
      <c r="F2" s="1056"/>
      <c r="G2" s="1056"/>
      <c r="H2" s="1056"/>
      <c r="I2" s="1056"/>
      <c r="J2" s="1056"/>
      <c r="K2" s="1056"/>
      <c r="L2" s="1056"/>
      <c r="M2" s="258"/>
      <c r="N2" s="258"/>
      <c r="O2" s="258"/>
      <c r="P2" s="258"/>
      <c r="Q2" s="258"/>
      <c r="R2" s="258"/>
      <c r="S2" s="258"/>
      <c r="T2" s="258"/>
      <c r="U2" s="258"/>
      <c r="V2" s="258"/>
      <c r="W2" s="258"/>
      <c r="X2" s="258"/>
      <c r="Y2" s="221"/>
      <c r="Z2" s="221"/>
      <c r="AA2" s="221"/>
      <c r="AB2" s="221"/>
      <c r="AC2" s="221"/>
      <c r="AD2" s="221"/>
      <c r="AE2" s="221"/>
      <c r="AF2" s="221"/>
      <c r="AG2" s="221"/>
      <c r="AH2" s="979" t="s">
        <v>213</v>
      </c>
      <c r="AI2" s="979"/>
      <c r="AJ2" s="979"/>
      <c r="AK2" s="979"/>
      <c r="AL2" s="979"/>
      <c r="AM2" s="979"/>
      <c r="AN2" s="979"/>
      <c r="AO2" s="979"/>
      <c r="AP2" s="979"/>
      <c r="AQ2" s="979"/>
      <c r="AR2" s="1031" t="s">
        <v>217</v>
      </c>
      <c r="AS2" s="1031"/>
      <c r="AT2" s="1031"/>
      <c r="AU2" s="1031"/>
      <c r="AV2" s="1031"/>
      <c r="AW2" s="1025" t="s">
        <v>424</v>
      </c>
      <c r="AX2" s="1025"/>
      <c r="AY2" s="1025"/>
      <c r="AZ2" s="1031" t="s">
        <v>215</v>
      </c>
      <c r="BA2" s="1031"/>
      <c r="BB2" s="1031" t="s">
        <v>216</v>
      </c>
      <c r="BC2" s="1031"/>
      <c r="BD2" s="1031"/>
      <c r="BE2" s="1031"/>
      <c r="BF2" s="1031" t="s">
        <v>52</v>
      </c>
      <c r="BG2" s="1031"/>
      <c r="BH2" s="1031"/>
      <c r="BI2" s="1031"/>
      <c r="BJ2" s="1046"/>
      <c r="BK2" s="1046"/>
      <c r="BL2" s="1046"/>
      <c r="BM2" s="1046"/>
      <c r="BN2" s="1045" t="s">
        <v>229</v>
      </c>
      <c r="BO2" s="1045"/>
      <c r="BP2" s="1045"/>
      <c r="BQ2" s="1045"/>
      <c r="BR2" s="250" t="s">
        <v>510</v>
      </c>
      <c r="BS2" s="221"/>
      <c r="BT2" s="221"/>
      <c r="BU2" s="221"/>
      <c r="BV2" s="221"/>
      <c r="BW2" s="221"/>
      <c r="BX2" s="221"/>
      <c r="BY2" s="221"/>
      <c r="BZ2" s="221"/>
      <c r="CA2" s="221"/>
      <c r="CB2" s="221"/>
      <c r="CC2" s="221"/>
      <c r="CD2" s="221"/>
      <c r="CE2" s="221"/>
      <c r="CF2" s="221"/>
      <c r="CG2" s="221"/>
      <c r="CH2" s="221"/>
      <c r="CI2" s="221"/>
      <c r="CJ2" s="221"/>
      <c r="CK2" s="221"/>
      <c r="CL2" s="221"/>
      <c r="CM2" s="221"/>
      <c r="CN2" s="221"/>
      <c r="CO2" s="221"/>
      <c r="CP2" s="221"/>
      <c r="CQ2" s="221"/>
      <c r="CR2" s="221"/>
      <c r="CS2" s="221"/>
      <c r="CT2" s="221"/>
      <c r="CU2" s="221"/>
      <c r="CV2" s="221"/>
      <c r="CW2" s="221"/>
      <c r="CX2" s="221"/>
      <c r="CY2" s="221"/>
      <c r="CZ2" s="221"/>
      <c r="DA2" s="221"/>
      <c r="DB2" s="221"/>
      <c r="DC2" s="221"/>
      <c r="DD2" s="221"/>
      <c r="DE2" s="221"/>
      <c r="DF2" s="221"/>
      <c r="DG2" s="221"/>
      <c r="DH2" s="221"/>
      <c r="DI2" s="221"/>
      <c r="DJ2" s="221"/>
      <c r="DK2" s="221"/>
      <c r="DL2" s="221"/>
    </row>
    <row r="3" spans="1:116" s="2" customFormat="1" ht="18" customHeight="1">
      <c r="A3" s="249" t="s">
        <v>195</v>
      </c>
      <c r="B3" s="249"/>
      <c r="C3" s="249"/>
      <c r="D3" s="1049">
        <f>'Project Information'!E6</f>
        <v>0</v>
      </c>
      <c r="E3" s="1049"/>
      <c r="F3" s="1049"/>
      <c r="G3" s="1049"/>
      <c r="H3" s="1049"/>
      <c r="I3" s="1049"/>
      <c r="J3" s="1049"/>
      <c r="K3" s="1049"/>
      <c r="L3" s="1049"/>
      <c r="M3" s="1049">
        <f>'Project Information'!X6</f>
        <v>0</v>
      </c>
      <c r="N3" s="1049"/>
      <c r="O3" s="1049"/>
      <c r="P3" s="1049"/>
      <c r="Q3" s="1049"/>
      <c r="R3" s="1049"/>
      <c r="S3" s="1049"/>
      <c r="T3" s="1049"/>
      <c r="U3" s="249"/>
      <c r="V3" s="1049">
        <f>'Project Information'!AK6</f>
        <v>0</v>
      </c>
      <c r="W3" s="1049"/>
      <c r="X3" s="1049"/>
      <c r="Y3" s="221"/>
      <c r="Z3" s="221"/>
      <c r="AA3" s="221"/>
      <c r="AB3" s="221"/>
      <c r="AC3" s="221"/>
      <c r="AD3" s="221"/>
      <c r="AE3" s="221"/>
      <c r="AF3" s="221"/>
      <c r="AG3" s="221"/>
      <c r="AH3" s="1002" t="s">
        <v>37</v>
      </c>
      <c r="AI3" s="1002"/>
      <c r="AJ3" s="1002"/>
      <c r="AK3" s="1002"/>
      <c r="AL3" s="1002"/>
      <c r="AM3" s="1002"/>
      <c r="AN3" s="1002"/>
      <c r="AO3" s="1002"/>
      <c r="AP3" s="1002"/>
      <c r="AQ3" s="1002"/>
      <c r="AR3" s="1002"/>
      <c r="AS3" s="1002"/>
      <c r="AT3" s="1002"/>
      <c r="AU3" s="1002"/>
      <c r="AV3" s="1002"/>
      <c r="AW3" s="1035">
        <f>'Work Scope'!T10</f>
        <v>0</v>
      </c>
      <c r="AX3" s="1036"/>
      <c r="AY3" s="1036"/>
      <c r="AZ3" s="1024">
        <f>'Work Scope'!B10</f>
        <v>0</v>
      </c>
      <c r="BA3" s="1025"/>
      <c r="BB3" s="1043">
        <f>'Work Scope'!X10</f>
        <v>0</v>
      </c>
      <c r="BC3" s="1044"/>
      <c r="BD3" s="1044"/>
      <c r="BE3" s="1044"/>
      <c r="BF3" s="1043">
        <f>'Work Scope'!N10</f>
        <v>0</v>
      </c>
      <c r="BG3" s="1044"/>
      <c r="BH3" s="1044"/>
      <c r="BI3" s="1044"/>
      <c r="BJ3" s="1038" t="e">
        <f>BB3/AW3</f>
        <v>#DIV/0!</v>
      </c>
      <c r="BK3" s="1039"/>
      <c r="BL3" s="1039"/>
      <c r="BM3" s="1040"/>
      <c r="BN3" s="1038">
        <f>'HE-PY24 Pricing'!B6</f>
        <v>0.95</v>
      </c>
      <c r="BO3" s="1039"/>
      <c r="BP3" s="1039"/>
      <c r="BQ3" s="1040"/>
      <c r="BR3" s="1055" t="s">
        <v>219</v>
      </c>
      <c r="BS3" s="1055"/>
      <c r="BT3" s="1055"/>
      <c r="BU3" s="1055"/>
      <c r="BV3" s="1035">
        <f>'Work Scope'!G11</f>
        <v>0</v>
      </c>
      <c r="BW3" s="1025"/>
      <c r="BX3" s="1026"/>
      <c r="BY3" s="1055" t="s">
        <v>220</v>
      </c>
      <c r="BZ3" s="1055"/>
      <c r="CA3" s="1055"/>
      <c r="CB3" s="1055"/>
      <c r="CC3" s="1048">
        <f>'Work Scope'!M11</f>
        <v>0</v>
      </c>
      <c r="CD3" s="1031"/>
      <c r="CE3" s="1031"/>
      <c r="CF3" s="1068" t="s">
        <v>116</v>
      </c>
      <c r="CG3" s="1069"/>
      <c r="CH3" s="1069"/>
      <c r="CI3" s="1069"/>
      <c r="CJ3" s="1069"/>
      <c r="CK3" s="247" t="str">
        <f>IF('Work Scope'!T11="X","X"," ")</f>
        <v xml:space="preserve"> </v>
      </c>
      <c r="CL3" s="221" t="s">
        <v>117</v>
      </c>
      <c r="CM3" s="221"/>
      <c r="CN3" s="221"/>
      <c r="CO3" s="248" t="str">
        <f>IF('Work Scope'!W11="X","X"," ")</f>
        <v xml:space="preserve"> </v>
      </c>
      <c r="CP3" s="1002" t="s">
        <v>118</v>
      </c>
      <c r="CQ3" s="1002"/>
      <c r="CR3" s="1002"/>
      <c r="CS3" s="1002"/>
      <c r="CT3" s="1002"/>
      <c r="CU3" s="1002"/>
      <c r="CV3" s="248" t="str">
        <f>IF('Work Scope'!AB11="X","X"," ")</f>
        <v xml:space="preserve"> </v>
      </c>
      <c r="CW3" s="1002" t="s">
        <v>119</v>
      </c>
      <c r="CX3" s="1002"/>
      <c r="CY3" s="1002"/>
      <c r="CZ3" s="1002"/>
      <c r="DA3" s="1002"/>
      <c r="DB3" s="248" t="str">
        <f>IF('Work Scope'!AG11="X","X"," ")</f>
        <v xml:space="preserve"> </v>
      </c>
      <c r="DC3" s="1002" t="s">
        <v>120</v>
      </c>
      <c r="DD3" s="1002"/>
      <c r="DE3" s="1002"/>
      <c r="DF3" s="1002"/>
      <c r="DG3" s="1002"/>
      <c r="DH3" s="1002"/>
      <c r="DI3" s="248" t="str">
        <f>IF('Work Scope'!AM11="X","X"," ")</f>
        <v xml:space="preserve"> </v>
      </c>
      <c r="DJ3" s="1002" t="s">
        <v>19</v>
      </c>
      <c r="DK3" s="1002"/>
      <c r="DL3" s="1002"/>
    </row>
    <row r="4" spans="1:116" s="2" customFormat="1" ht="18" customHeight="1">
      <c r="A4" s="1060" t="s">
        <v>227</v>
      </c>
      <c r="B4" s="1060"/>
      <c r="C4" s="1060"/>
      <c r="D4" s="1060"/>
      <c r="E4" s="1061">
        <f>'Project Information'!F12</f>
        <v>0</v>
      </c>
      <c r="F4" s="1061"/>
      <c r="G4" s="221"/>
      <c r="H4" s="221"/>
      <c r="I4" s="221"/>
      <c r="J4" s="221"/>
      <c r="K4" s="221"/>
      <c r="L4" s="221"/>
      <c r="M4" s="221"/>
      <c r="N4" s="221"/>
      <c r="O4" s="221"/>
      <c r="P4" s="221"/>
      <c r="Q4" s="221"/>
      <c r="R4" s="221"/>
      <c r="S4" s="221"/>
      <c r="T4" s="221"/>
      <c r="U4" s="221"/>
      <c r="V4" s="221"/>
      <c r="W4" s="221"/>
      <c r="X4" s="221"/>
      <c r="Y4" s="221"/>
      <c r="Z4" s="221"/>
      <c r="AA4" s="221"/>
      <c r="AB4" s="221"/>
      <c r="AC4" s="221"/>
      <c r="AD4" s="221"/>
      <c r="AE4" s="221"/>
      <c r="AF4" s="221"/>
      <c r="AG4" s="221"/>
      <c r="AH4" s="1017" t="s">
        <v>62</v>
      </c>
      <c r="AI4" s="1017"/>
      <c r="AJ4" s="1017"/>
      <c r="AK4" s="1017"/>
      <c r="AL4" s="1017"/>
      <c r="AM4" s="1017"/>
      <c r="AN4" s="1017"/>
      <c r="AO4" s="1017"/>
      <c r="AP4" s="1017"/>
      <c r="AQ4" s="1017"/>
      <c r="AR4" s="1017"/>
      <c r="AS4" s="1017"/>
      <c r="AT4" s="1017"/>
      <c r="AU4" s="1017"/>
      <c r="AV4" s="1017"/>
      <c r="AW4" s="1027">
        <f>'Work Scope'!E13</f>
        <v>0</v>
      </c>
      <c r="AX4" s="1028"/>
      <c r="AY4" s="1028"/>
      <c r="AZ4" s="1027">
        <f>'Work Scope'!B12</f>
        <v>0</v>
      </c>
      <c r="BA4" s="1028"/>
      <c r="BB4" s="1041" t="e">
        <f>('Work Scope'!X12/'Work Scope'!T12)*'Work Scope'!E13</f>
        <v>#DIV/0!</v>
      </c>
      <c r="BC4" s="1042"/>
      <c r="BD4" s="1042"/>
      <c r="BE4" s="1042"/>
      <c r="BF4" s="1041">
        <f>'Work Scope'!N12</f>
        <v>0</v>
      </c>
      <c r="BG4" s="1042"/>
      <c r="BH4" s="1042"/>
      <c r="BI4" s="1042"/>
      <c r="BJ4" s="1000" t="e">
        <f t="shared" ref="BJ4:BJ13" si="0">BB4/AW4</f>
        <v>#DIV/0!</v>
      </c>
      <c r="BK4" s="1001"/>
      <c r="BL4" s="1001"/>
      <c r="BM4" s="1037"/>
      <c r="BN4" s="1000">
        <f>'HE-PY24 Pricing'!B7</f>
        <v>1.9</v>
      </c>
      <c r="BO4" s="1001"/>
      <c r="BP4" s="1001"/>
      <c r="BQ4" s="1037"/>
      <c r="BR4" s="1057" t="s">
        <v>221</v>
      </c>
      <c r="BS4" s="1057"/>
      <c r="BT4" s="1057"/>
      <c r="BU4" s="1057"/>
      <c r="BV4" s="1033">
        <f>'Work Scope'!AA13</f>
        <v>0</v>
      </c>
      <c r="BW4" s="1028"/>
      <c r="BX4" s="1029"/>
      <c r="BY4" s="1057" t="s">
        <v>222</v>
      </c>
      <c r="BZ4" s="1057"/>
      <c r="CA4" s="1057"/>
      <c r="CB4" s="1057"/>
      <c r="CC4" s="1050">
        <f>'Work Scope'!AF13</f>
        <v>0</v>
      </c>
      <c r="CD4" s="1051"/>
      <c r="CE4" s="1051"/>
      <c r="CF4" s="1053" t="s">
        <v>116</v>
      </c>
      <c r="CG4" s="1054"/>
      <c r="CH4" s="1054"/>
      <c r="CI4" s="1054"/>
      <c r="CJ4" s="1054"/>
      <c r="CK4" s="1049">
        <f>'Work Scope'!AK13</f>
        <v>0</v>
      </c>
      <c r="CL4" s="1049"/>
      <c r="CM4" s="1049"/>
      <c r="CN4" s="1049"/>
      <c r="CO4" s="1049"/>
      <c r="CP4" s="1049"/>
      <c r="CQ4" s="1057" t="s">
        <v>627</v>
      </c>
      <c r="CR4" s="1057"/>
      <c r="CS4" s="1057"/>
      <c r="CT4" s="1051">
        <f>'Work Scope'!J13</f>
        <v>0</v>
      </c>
      <c r="CU4" s="1051"/>
      <c r="CV4" s="1051"/>
      <c r="CW4" s="1051"/>
      <c r="CX4" s="1051"/>
      <c r="CY4" s="1051"/>
      <c r="CZ4" s="1057" t="s">
        <v>124</v>
      </c>
      <c r="DA4" s="1057"/>
      <c r="DB4" s="1057"/>
      <c r="DC4" s="1051">
        <f>'Work Scope'!P13</f>
        <v>0</v>
      </c>
      <c r="DD4" s="1051"/>
      <c r="DE4" s="1057" t="s">
        <v>125</v>
      </c>
      <c r="DF4" s="1057"/>
      <c r="DG4" s="1057"/>
      <c r="DH4" s="1057"/>
      <c r="DI4" s="1051">
        <f>'Work Scope'!U13</f>
        <v>0</v>
      </c>
      <c r="DJ4" s="1051"/>
      <c r="DK4" s="1051"/>
      <c r="DL4" s="1051"/>
    </row>
    <row r="5" spans="1:116" s="2" customFormat="1" ht="18" customHeight="1">
      <c r="A5" s="221"/>
      <c r="B5" s="221"/>
      <c r="C5" s="221"/>
      <c r="D5" s="221"/>
      <c r="E5" s="221"/>
      <c r="F5" s="221"/>
      <c r="G5" s="221"/>
      <c r="H5" s="221"/>
      <c r="I5" s="221"/>
      <c r="J5" s="221"/>
      <c r="K5" s="221"/>
      <c r="L5" s="221"/>
      <c r="M5" s="221"/>
      <c r="N5" s="221"/>
      <c r="O5" s="221"/>
      <c r="P5" s="221"/>
      <c r="Q5" s="221"/>
      <c r="R5" s="1059" t="s">
        <v>498</v>
      </c>
      <c r="S5" s="1059"/>
      <c r="T5" s="1059"/>
      <c r="U5" s="1059"/>
      <c r="V5" s="1059"/>
      <c r="W5" s="1059" t="s">
        <v>499</v>
      </c>
      <c r="X5" s="1059"/>
      <c r="Y5" s="1059"/>
      <c r="Z5" s="1059"/>
      <c r="AA5" s="1059"/>
      <c r="AB5" s="1059" t="s">
        <v>1096</v>
      </c>
      <c r="AC5" s="1059"/>
      <c r="AD5" s="1059"/>
      <c r="AE5" s="1059"/>
      <c r="AF5" s="1059"/>
      <c r="AG5" s="221"/>
      <c r="AH5" s="1002" t="s">
        <v>62</v>
      </c>
      <c r="AI5" s="1002"/>
      <c r="AJ5" s="1002"/>
      <c r="AK5" s="1002"/>
      <c r="AL5" s="1002"/>
      <c r="AM5" s="1002"/>
      <c r="AN5" s="1002"/>
      <c r="AO5" s="1002"/>
      <c r="AP5" s="1002"/>
      <c r="AQ5" s="1002"/>
      <c r="AR5" s="1002"/>
      <c r="AS5" s="1002"/>
      <c r="AT5" s="1002"/>
      <c r="AU5" s="1002"/>
      <c r="AV5" s="1002"/>
      <c r="AW5" s="1024">
        <f>'Work Scope'!E14</f>
        <v>0</v>
      </c>
      <c r="AX5" s="1025"/>
      <c r="AY5" s="1025"/>
      <c r="AZ5" s="1024">
        <f>'Work Scope'!B12</f>
        <v>0</v>
      </c>
      <c r="BA5" s="1025"/>
      <c r="BB5" s="1043" t="e">
        <f>('Work Scope'!X12/'Work Scope'!T12)*'Work Scope'!E14</f>
        <v>#DIV/0!</v>
      </c>
      <c r="BC5" s="1044"/>
      <c r="BD5" s="1044"/>
      <c r="BE5" s="1044"/>
      <c r="BF5" s="1043">
        <f>'Work Scope'!N12</f>
        <v>0</v>
      </c>
      <c r="BG5" s="1044"/>
      <c r="BH5" s="1044"/>
      <c r="BI5" s="1044"/>
      <c r="BJ5" s="1038" t="e">
        <f t="shared" si="0"/>
        <v>#DIV/0!</v>
      </c>
      <c r="BK5" s="1039"/>
      <c r="BL5" s="1039"/>
      <c r="BM5" s="1040"/>
      <c r="BN5" s="1038">
        <f>'HE-PY24 Pricing'!B7</f>
        <v>1.9</v>
      </c>
      <c r="BO5" s="1039"/>
      <c r="BP5" s="1039"/>
      <c r="BQ5" s="1040"/>
      <c r="BR5" s="1055" t="s">
        <v>221</v>
      </c>
      <c r="BS5" s="1055"/>
      <c r="BT5" s="1055"/>
      <c r="BU5" s="1055"/>
      <c r="BV5" s="1035">
        <f>'Work Scope'!AA14</f>
        <v>0</v>
      </c>
      <c r="BW5" s="1025"/>
      <c r="BX5" s="1026"/>
      <c r="BY5" s="1055" t="s">
        <v>222</v>
      </c>
      <c r="BZ5" s="1055"/>
      <c r="CA5" s="1055"/>
      <c r="CB5" s="1055"/>
      <c r="CC5" s="1048">
        <f>'Work Scope'!AF14</f>
        <v>0</v>
      </c>
      <c r="CD5" s="1031"/>
      <c r="CE5" s="1031"/>
      <c r="CF5" s="1052" t="s">
        <v>116</v>
      </c>
      <c r="CG5" s="1032"/>
      <c r="CH5" s="1032"/>
      <c r="CI5" s="1032"/>
      <c r="CJ5" s="1032"/>
      <c r="CK5" s="979">
        <f>'Work Scope'!AK14</f>
        <v>0</v>
      </c>
      <c r="CL5" s="979"/>
      <c r="CM5" s="979"/>
      <c r="CN5" s="979"/>
      <c r="CO5" s="979"/>
      <c r="CP5" s="979"/>
      <c r="CQ5" s="1055" t="s">
        <v>627</v>
      </c>
      <c r="CR5" s="1055"/>
      <c r="CS5" s="1055"/>
      <c r="CT5" s="1031">
        <f>'Work Scope'!J14</f>
        <v>0</v>
      </c>
      <c r="CU5" s="1031"/>
      <c r="CV5" s="1031"/>
      <c r="CW5" s="1031"/>
      <c r="CX5" s="1031"/>
      <c r="CY5" s="1031"/>
      <c r="CZ5" s="1055" t="s">
        <v>124</v>
      </c>
      <c r="DA5" s="1055"/>
      <c r="DB5" s="1055"/>
      <c r="DC5" s="1031">
        <f>'Work Scope'!P14</f>
        <v>0</v>
      </c>
      <c r="DD5" s="1031"/>
      <c r="DE5" s="1055" t="s">
        <v>125</v>
      </c>
      <c r="DF5" s="1055"/>
      <c r="DG5" s="1055"/>
      <c r="DH5" s="1055"/>
      <c r="DI5" s="1031">
        <f>'Work Scope'!U14</f>
        <v>0</v>
      </c>
      <c r="DJ5" s="1031"/>
      <c r="DK5" s="1031"/>
      <c r="DL5" s="1031"/>
    </row>
    <row r="6" spans="1:116" s="2" customFormat="1" ht="18" customHeight="1">
      <c r="A6" s="1058" t="s">
        <v>203</v>
      </c>
      <c r="B6" s="1058"/>
      <c r="C6" s="1058"/>
      <c r="D6" s="1058"/>
      <c r="E6" s="1058"/>
      <c r="F6" s="1056">
        <f>'Project Information'!G17</f>
        <v>0</v>
      </c>
      <c r="G6" s="1056"/>
      <c r="H6" s="1056"/>
      <c r="I6" s="1056"/>
      <c r="J6" s="1056"/>
      <c r="K6" s="1056"/>
      <c r="L6" s="1056"/>
      <c r="M6" s="1056"/>
      <c r="N6" s="1056"/>
      <c r="O6" s="1056"/>
      <c r="P6" s="1056"/>
      <c r="Q6" s="1056"/>
      <c r="R6" s="1063">
        <f>'Work Scope'!H82</f>
        <v>0</v>
      </c>
      <c r="S6" s="1063"/>
      <c r="T6" s="1063"/>
      <c r="U6" s="1063"/>
      <c r="V6" s="1063"/>
      <c r="W6" s="1063">
        <f>'Work Scope'!S82</f>
        <v>0</v>
      </c>
      <c r="X6" s="1063"/>
      <c r="Y6" s="1063"/>
      <c r="Z6" s="1063"/>
      <c r="AA6" s="1063"/>
      <c r="AB6" s="1063">
        <f>'Work Scope'!AB82</f>
        <v>0</v>
      </c>
      <c r="AC6" s="1063"/>
      <c r="AD6" s="1063"/>
      <c r="AE6" s="1063"/>
      <c r="AF6" s="1063"/>
      <c r="AG6" s="221"/>
      <c r="AH6" s="1017" t="s">
        <v>63</v>
      </c>
      <c r="AI6" s="1017"/>
      <c r="AJ6" s="1017"/>
      <c r="AK6" s="1017"/>
      <c r="AL6" s="1017"/>
      <c r="AM6" s="1017"/>
      <c r="AN6" s="1017"/>
      <c r="AO6" s="1017"/>
      <c r="AP6" s="1017"/>
      <c r="AQ6" s="1017"/>
      <c r="AR6" s="1017"/>
      <c r="AS6" s="1017"/>
      <c r="AT6" s="1017"/>
      <c r="AU6" s="1017"/>
      <c r="AV6" s="1017"/>
      <c r="AW6" s="1027">
        <f>'Work Scope'!E16</f>
        <v>0</v>
      </c>
      <c r="AX6" s="1028"/>
      <c r="AY6" s="1028"/>
      <c r="AZ6" s="1027">
        <f>'Work Scope'!B15</f>
        <v>0</v>
      </c>
      <c r="BA6" s="1028"/>
      <c r="BB6" s="1041" t="e">
        <f>('Work Scope'!X15/'Work Scope'!T15)*'Work Scope'!E16</f>
        <v>#DIV/0!</v>
      </c>
      <c r="BC6" s="1042"/>
      <c r="BD6" s="1042"/>
      <c r="BE6" s="1042"/>
      <c r="BF6" s="1041">
        <f>'Work Scope'!N18</f>
        <v>0</v>
      </c>
      <c r="BG6" s="1042"/>
      <c r="BH6" s="1042"/>
      <c r="BI6" s="1042"/>
      <c r="BJ6" s="1000" t="e">
        <f t="shared" si="0"/>
        <v>#DIV/0!</v>
      </c>
      <c r="BK6" s="1001"/>
      <c r="BL6" s="1001"/>
      <c r="BM6" s="1037"/>
      <c r="BN6" s="1000">
        <f>'HE-PY24 Pricing'!B8</f>
        <v>1.55</v>
      </c>
      <c r="BO6" s="1001"/>
      <c r="BP6" s="1001"/>
      <c r="BQ6" s="1037"/>
      <c r="BR6" s="1057" t="s">
        <v>221</v>
      </c>
      <c r="BS6" s="1057"/>
      <c r="BT6" s="1057"/>
      <c r="BU6" s="1057"/>
      <c r="BV6" s="1033">
        <f>'Work Scope'!AA16</f>
        <v>0</v>
      </c>
      <c r="BW6" s="1028"/>
      <c r="BX6" s="1029"/>
      <c r="BY6" s="1057" t="s">
        <v>222</v>
      </c>
      <c r="BZ6" s="1057"/>
      <c r="CA6" s="1057"/>
      <c r="CB6" s="1057"/>
      <c r="CC6" s="1050">
        <f>'Work Scope'!AF16</f>
        <v>0</v>
      </c>
      <c r="CD6" s="1051"/>
      <c r="CE6" s="1051"/>
      <c r="CF6" s="1053" t="s">
        <v>116</v>
      </c>
      <c r="CG6" s="1054"/>
      <c r="CH6" s="1054"/>
      <c r="CI6" s="1054"/>
      <c r="CJ6" s="1054"/>
      <c r="CK6" s="1049">
        <f>'Work Scope'!AK16</f>
        <v>0</v>
      </c>
      <c r="CL6" s="1049"/>
      <c r="CM6" s="1049"/>
      <c r="CN6" s="1049"/>
      <c r="CO6" s="1049"/>
      <c r="CP6" s="1049"/>
      <c r="CQ6" s="1057" t="s">
        <v>627</v>
      </c>
      <c r="CR6" s="1057"/>
      <c r="CS6" s="1057"/>
      <c r="CT6" s="1051">
        <f>'Work Scope'!J16</f>
        <v>0</v>
      </c>
      <c r="CU6" s="1051"/>
      <c r="CV6" s="1051"/>
      <c r="CW6" s="1051"/>
      <c r="CX6" s="1051"/>
      <c r="CY6" s="1051"/>
      <c r="CZ6" s="1057" t="s">
        <v>124</v>
      </c>
      <c r="DA6" s="1057"/>
      <c r="DB6" s="1057"/>
      <c r="DC6" s="1051">
        <f>'Work Scope'!P16</f>
        <v>0</v>
      </c>
      <c r="DD6" s="1051"/>
      <c r="DE6" s="1057" t="s">
        <v>125</v>
      </c>
      <c r="DF6" s="1057"/>
      <c r="DG6" s="1057"/>
      <c r="DH6" s="1057"/>
      <c r="DI6" s="1051">
        <f>'Work Scope'!U16</f>
        <v>0</v>
      </c>
      <c r="DJ6" s="1051"/>
      <c r="DK6" s="1051"/>
      <c r="DL6" s="1051"/>
    </row>
    <row r="7" spans="1:116" s="2" customFormat="1" ht="18" customHeight="1">
      <c r="A7" s="1057" t="s">
        <v>202</v>
      </c>
      <c r="B7" s="1057"/>
      <c r="C7" s="1057"/>
      <c r="D7" s="1057"/>
      <c r="E7" s="1057"/>
      <c r="F7" s="1049">
        <f>'Project Information'!G20</f>
        <v>0</v>
      </c>
      <c r="G7" s="1049"/>
      <c r="H7" s="1049"/>
      <c r="I7" s="1049"/>
      <c r="J7" s="1049"/>
      <c r="K7" s="1049"/>
      <c r="L7" s="1049"/>
      <c r="M7" s="1049"/>
      <c r="N7" s="1049"/>
      <c r="O7" s="1049"/>
      <c r="P7" s="1049"/>
      <c r="Q7" s="1049"/>
      <c r="R7" s="1062">
        <f>'Work Scope'!H83</f>
        <v>0</v>
      </c>
      <c r="S7" s="1062"/>
      <c r="T7" s="1062"/>
      <c r="U7" s="1062"/>
      <c r="V7" s="1062"/>
      <c r="W7" s="1062">
        <f>'Work Scope'!S83</f>
        <v>0</v>
      </c>
      <c r="X7" s="1062"/>
      <c r="Y7" s="1062"/>
      <c r="Z7" s="1062"/>
      <c r="AA7" s="1062"/>
      <c r="AB7" s="1062">
        <f>'Work Scope'!AB83</f>
        <v>0</v>
      </c>
      <c r="AC7" s="1062"/>
      <c r="AD7" s="1062"/>
      <c r="AE7" s="1062"/>
      <c r="AF7" s="1062"/>
      <c r="AG7" s="221"/>
      <c r="AH7" s="1002" t="s">
        <v>63</v>
      </c>
      <c r="AI7" s="1002"/>
      <c r="AJ7" s="1002"/>
      <c r="AK7" s="1002"/>
      <c r="AL7" s="1002"/>
      <c r="AM7" s="1002"/>
      <c r="AN7" s="1002"/>
      <c r="AO7" s="1002"/>
      <c r="AP7" s="1002"/>
      <c r="AQ7" s="1002"/>
      <c r="AR7" s="1002"/>
      <c r="AS7" s="1002"/>
      <c r="AT7" s="1002"/>
      <c r="AU7" s="1002"/>
      <c r="AV7" s="1002"/>
      <c r="AW7" s="1024">
        <f>'Work Scope'!E17</f>
        <v>0</v>
      </c>
      <c r="AX7" s="1025"/>
      <c r="AY7" s="1025"/>
      <c r="AZ7" s="1024">
        <f>'Work Scope'!B15</f>
        <v>0</v>
      </c>
      <c r="BA7" s="1025"/>
      <c r="BB7" s="1043" t="e">
        <f>('Work Scope'!X15/'Work Scope'!T15)*'Work Scope'!E17</f>
        <v>#DIV/0!</v>
      </c>
      <c r="BC7" s="1044"/>
      <c r="BD7" s="1044"/>
      <c r="BE7" s="1044"/>
      <c r="BF7" s="1043">
        <f>'Work Scope'!N18</f>
        <v>0</v>
      </c>
      <c r="BG7" s="1044"/>
      <c r="BH7" s="1044"/>
      <c r="BI7" s="1044"/>
      <c r="BJ7" s="1038" t="e">
        <f t="shared" si="0"/>
        <v>#DIV/0!</v>
      </c>
      <c r="BK7" s="1039"/>
      <c r="BL7" s="1039"/>
      <c r="BM7" s="1040"/>
      <c r="BN7" s="1038">
        <f>'HE-PY24 Pricing'!B8</f>
        <v>1.55</v>
      </c>
      <c r="BO7" s="1039"/>
      <c r="BP7" s="1039"/>
      <c r="BQ7" s="1040"/>
      <c r="BR7" s="1055" t="s">
        <v>221</v>
      </c>
      <c r="BS7" s="1055"/>
      <c r="BT7" s="1055"/>
      <c r="BU7" s="1055"/>
      <c r="BV7" s="1035">
        <f>'Work Scope'!AA17</f>
        <v>0</v>
      </c>
      <c r="BW7" s="1025"/>
      <c r="BX7" s="1026"/>
      <c r="BY7" s="1055" t="s">
        <v>222</v>
      </c>
      <c r="BZ7" s="1055"/>
      <c r="CA7" s="1055"/>
      <c r="CB7" s="1055"/>
      <c r="CC7" s="1048">
        <f>'Work Scope'!AF17</f>
        <v>0</v>
      </c>
      <c r="CD7" s="1031"/>
      <c r="CE7" s="1031"/>
      <c r="CF7" s="1052" t="s">
        <v>116</v>
      </c>
      <c r="CG7" s="1032"/>
      <c r="CH7" s="1032"/>
      <c r="CI7" s="1032"/>
      <c r="CJ7" s="1032"/>
      <c r="CK7" s="979">
        <f>'Work Scope'!AK17</f>
        <v>0</v>
      </c>
      <c r="CL7" s="979"/>
      <c r="CM7" s="979"/>
      <c r="CN7" s="979"/>
      <c r="CO7" s="979"/>
      <c r="CP7" s="979"/>
      <c r="CQ7" s="1055" t="s">
        <v>627</v>
      </c>
      <c r="CR7" s="1055"/>
      <c r="CS7" s="1055"/>
      <c r="CT7" s="1031">
        <f>'Work Scope'!J17</f>
        <v>0</v>
      </c>
      <c r="CU7" s="1031"/>
      <c r="CV7" s="1031"/>
      <c r="CW7" s="1031"/>
      <c r="CX7" s="1031"/>
      <c r="CY7" s="1031"/>
      <c r="CZ7" s="1055" t="s">
        <v>124</v>
      </c>
      <c r="DA7" s="1055"/>
      <c r="DB7" s="1055"/>
      <c r="DC7" s="1031">
        <f>'Work Scope'!P17</f>
        <v>0</v>
      </c>
      <c r="DD7" s="1031"/>
      <c r="DE7" s="1055" t="s">
        <v>125</v>
      </c>
      <c r="DF7" s="1055"/>
      <c r="DG7" s="1055"/>
      <c r="DH7" s="1055"/>
      <c r="DI7" s="1031">
        <f>'Work Scope'!U17</f>
        <v>0</v>
      </c>
      <c r="DJ7" s="1031"/>
      <c r="DK7" s="1031"/>
      <c r="DL7" s="1031"/>
    </row>
    <row r="8" spans="1:116" s="2" customFormat="1" ht="18" customHeight="1">
      <c r="A8" s="602"/>
      <c r="B8" s="602"/>
      <c r="C8" s="602"/>
      <c r="D8" s="602"/>
      <c r="E8" s="602"/>
      <c r="F8" s="603"/>
      <c r="G8" s="603"/>
      <c r="H8" s="603"/>
      <c r="I8" s="603"/>
      <c r="J8" s="603"/>
      <c r="K8" s="603"/>
      <c r="L8" s="603"/>
      <c r="M8" s="603"/>
      <c r="N8" s="603"/>
      <c r="O8" s="603"/>
      <c r="P8" s="603"/>
      <c r="Q8" s="603"/>
      <c r="R8" s="2028"/>
      <c r="S8" s="2028"/>
      <c r="T8" s="2028"/>
      <c r="U8" s="2028"/>
      <c r="V8" s="2028"/>
      <c r="W8" s="2028"/>
      <c r="X8" s="2028"/>
      <c r="Y8" s="2028"/>
      <c r="Z8" s="2028"/>
      <c r="AA8" s="2028"/>
      <c r="AB8" s="2028"/>
      <c r="AC8" s="2028"/>
      <c r="AD8" s="2028"/>
      <c r="AE8" s="2028"/>
      <c r="AF8" s="2028"/>
      <c r="AG8" s="221"/>
      <c r="AH8" s="1017" t="s">
        <v>1492</v>
      </c>
      <c r="AI8" s="1017"/>
      <c r="AJ8" s="1017"/>
      <c r="AK8" s="1017"/>
      <c r="AL8" s="1017"/>
      <c r="AM8" s="1017"/>
      <c r="AN8" s="1017"/>
      <c r="AO8" s="1017"/>
      <c r="AP8" s="1017"/>
      <c r="AQ8" s="1017"/>
      <c r="AR8" s="1017"/>
      <c r="AS8" s="1017"/>
      <c r="AT8" s="1017"/>
      <c r="AU8" s="1017"/>
      <c r="AV8" s="1017"/>
      <c r="AW8" s="1027">
        <f>'Work Scope'!E19</f>
        <v>0</v>
      </c>
      <c r="AX8" s="1028"/>
      <c r="AY8" s="1028"/>
      <c r="AZ8" s="1027">
        <f>'Work Scope'!B19</f>
        <v>0</v>
      </c>
      <c r="BA8" s="1028"/>
      <c r="BB8" s="1041" t="e">
        <f>('Work Scope'!X18/'Work Scope'!T18)*'Work Scope'!E19</f>
        <v>#DIV/0!</v>
      </c>
      <c r="BC8" s="1042"/>
      <c r="BD8" s="1042"/>
      <c r="BE8" s="1042"/>
      <c r="BF8" s="1041">
        <f>'Work Scope'!N18</f>
        <v>0</v>
      </c>
      <c r="BG8" s="1042"/>
      <c r="BH8" s="1042"/>
      <c r="BI8" s="1042"/>
      <c r="BJ8" s="1000" t="e">
        <f t="shared" ref="BJ8:BJ9" si="1">BB8/AW8</f>
        <v>#DIV/0!</v>
      </c>
      <c r="BK8" s="1001"/>
      <c r="BL8" s="1001"/>
      <c r="BM8" s="1037"/>
      <c r="BN8" s="1000">
        <f>'HE-PY24 Pricing'!B10</f>
        <v>5.05</v>
      </c>
      <c r="BO8" s="1001"/>
      <c r="BP8" s="1001"/>
      <c r="BQ8" s="1037"/>
      <c r="BR8" s="1057" t="s">
        <v>221</v>
      </c>
      <c r="BS8" s="1057"/>
      <c r="BT8" s="1057"/>
      <c r="BU8" s="1057"/>
      <c r="BV8" s="1033">
        <f>'Work Scope'!AA19</f>
        <v>0</v>
      </c>
      <c r="BW8" s="1028"/>
      <c r="BX8" s="1029"/>
      <c r="BY8" s="1057" t="s">
        <v>222</v>
      </c>
      <c r="BZ8" s="1057"/>
      <c r="CA8" s="1057"/>
      <c r="CB8" s="1057"/>
      <c r="CC8" s="1050">
        <f>'Work Scope'!AF19</f>
        <v>0</v>
      </c>
      <c r="CD8" s="1051"/>
      <c r="CE8" s="1051"/>
      <c r="CF8" s="1053" t="s">
        <v>116</v>
      </c>
      <c r="CG8" s="1054"/>
      <c r="CH8" s="1054"/>
      <c r="CI8" s="1054"/>
      <c r="CJ8" s="1054"/>
      <c r="CK8" s="1049">
        <f>'Work Scope'!AK19</f>
        <v>0</v>
      </c>
      <c r="CL8" s="1049"/>
      <c r="CM8" s="1049"/>
      <c r="CN8" s="1049"/>
      <c r="CO8" s="1049"/>
      <c r="CP8" s="1049"/>
      <c r="CQ8" s="1057" t="s">
        <v>627</v>
      </c>
      <c r="CR8" s="1057"/>
      <c r="CS8" s="1057"/>
      <c r="CT8" s="1051">
        <f>'Work Scope'!J19</f>
        <v>0</v>
      </c>
      <c r="CU8" s="1051"/>
      <c r="CV8" s="1051"/>
      <c r="CW8" s="1051"/>
      <c r="CX8" s="1051"/>
      <c r="CY8" s="1051"/>
      <c r="CZ8" s="1057" t="s">
        <v>124</v>
      </c>
      <c r="DA8" s="1057"/>
      <c r="DB8" s="1057"/>
      <c r="DC8" s="1051">
        <f>'Work Scope'!P19</f>
        <v>0</v>
      </c>
      <c r="DD8" s="1051"/>
      <c r="DE8" s="1057" t="s">
        <v>125</v>
      </c>
      <c r="DF8" s="1057"/>
      <c r="DG8" s="1057"/>
      <c r="DH8" s="1057"/>
      <c r="DI8" s="1051">
        <f>'Work Scope'!U19</f>
        <v>0</v>
      </c>
      <c r="DJ8" s="1051"/>
      <c r="DK8" s="1051"/>
      <c r="DL8" s="1051"/>
    </row>
    <row r="9" spans="1:116" s="2" customFormat="1" ht="18" customHeight="1">
      <c r="A9" s="602"/>
      <c r="B9" s="602"/>
      <c r="C9" s="602"/>
      <c r="D9" s="602"/>
      <c r="E9" s="602"/>
      <c r="F9" s="603"/>
      <c r="G9" s="603"/>
      <c r="H9" s="603"/>
      <c r="I9" s="603"/>
      <c r="J9" s="603"/>
      <c r="K9" s="603"/>
      <c r="L9" s="603"/>
      <c r="M9" s="603"/>
      <c r="N9" s="603"/>
      <c r="O9" s="603"/>
      <c r="P9" s="603"/>
      <c r="Q9" s="603"/>
      <c r="R9" s="2028"/>
      <c r="S9" s="2028"/>
      <c r="T9" s="2028"/>
      <c r="U9" s="2028"/>
      <c r="V9" s="2028"/>
      <c r="W9" s="2028"/>
      <c r="X9" s="2028"/>
      <c r="Y9" s="2028"/>
      <c r="Z9" s="2028"/>
      <c r="AA9" s="2028"/>
      <c r="AB9" s="2028"/>
      <c r="AC9" s="2028"/>
      <c r="AD9" s="2028"/>
      <c r="AE9" s="2028"/>
      <c r="AF9" s="2028"/>
      <c r="AG9" s="221"/>
      <c r="AH9" s="1002" t="s">
        <v>1492</v>
      </c>
      <c r="AI9" s="1002"/>
      <c r="AJ9" s="1002"/>
      <c r="AK9" s="1002"/>
      <c r="AL9" s="1002"/>
      <c r="AM9" s="1002"/>
      <c r="AN9" s="1002"/>
      <c r="AO9" s="1002"/>
      <c r="AP9" s="1002"/>
      <c r="AQ9" s="1002"/>
      <c r="AR9" s="1002"/>
      <c r="AS9" s="1002"/>
      <c r="AT9" s="1002"/>
      <c r="AU9" s="1002"/>
      <c r="AV9" s="1002"/>
      <c r="AW9" s="1024">
        <f>'Work Scope'!E20</f>
        <v>0</v>
      </c>
      <c r="AX9" s="1025"/>
      <c r="AY9" s="1025"/>
      <c r="AZ9" s="1024">
        <f>'Work Scope'!B20</f>
        <v>0</v>
      </c>
      <c r="BA9" s="1025"/>
      <c r="BB9" s="1043" t="e">
        <f>('Work Scope'!X18/'Work Scope'!T18)*'Work Scope'!E20</f>
        <v>#DIV/0!</v>
      </c>
      <c r="BC9" s="1044"/>
      <c r="BD9" s="1044"/>
      <c r="BE9" s="1044"/>
      <c r="BF9" s="1041">
        <f>'Work Scope'!N18</f>
        <v>0</v>
      </c>
      <c r="BG9" s="1042"/>
      <c r="BH9" s="1042"/>
      <c r="BI9" s="1042"/>
      <c r="BJ9" s="1038" t="e">
        <f t="shared" si="1"/>
        <v>#DIV/0!</v>
      </c>
      <c r="BK9" s="1039"/>
      <c r="BL9" s="1039"/>
      <c r="BM9" s="1040"/>
      <c r="BN9" s="1038">
        <f>'HE-PY24 Pricing'!B10</f>
        <v>5.05</v>
      </c>
      <c r="BO9" s="1039"/>
      <c r="BP9" s="1039"/>
      <c r="BQ9" s="1040"/>
      <c r="BR9" s="1055" t="s">
        <v>221</v>
      </c>
      <c r="BS9" s="1055"/>
      <c r="BT9" s="1055"/>
      <c r="BU9" s="1055"/>
      <c r="BV9" s="1035">
        <f>'Work Scope'!AA20</f>
        <v>0</v>
      </c>
      <c r="BW9" s="1025"/>
      <c r="BX9" s="1026"/>
      <c r="BY9" s="1055" t="s">
        <v>222</v>
      </c>
      <c r="BZ9" s="1055"/>
      <c r="CA9" s="1055"/>
      <c r="CB9" s="1055"/>
      <c r="CC9" s="1048">
        <f>'Work Scope'!AF20</f>
        <v>0</v>
      </c>
      <c r="CD9" s="1031"/>
      <c r="CE9" s="1031"/>
      <c r="CF9" s="1052" t="s">
        <v>116</v>
      </c>
      <c r="CG9" s="1032"/>
      <c r="CH9" s="1032"/>
      <c r="CI9" s="1032"/>
      <c r="CJ9" s="1032"/>
      <c r="CK9" s="979">
        <f>'Work Scope'!AK20</f>
        <v>0</v>
      </c>
      <c r="CL9" s="979"/>
      <c r="CM9" s="979"/>
      <c r="CN9" s="979"/>
      <c r="CO9" s="979"/>
      <c r="CP9" s="979"/>
      <c r="CQ9" s="1055" t="s">
        <v>627</v>
      </c>
      <c r="CR9" s="1055"/>
      <c r="CS9" s="1055"/>
      <c r="CT9" s="1031">
        <f>'Work Scope'!J20</f>
        <v>0</v>
      </c>
      <c r="CU9" s="1031"/>
      <c r="CV9" s="1031"/>
      <c r="CW9" s="1031"/>
      <c r="CX9" s="1031"/>
      <c r="CY9" s="1031"/>
      <c r="CZ9" s="1055" t="s">
        <v>124</v>
      </c>
      <c r="DA9" s="1055"/>
      <c r="DB9" s="1055"/>
      <c r="DC9" s="1031">
        <f>'Work Scope'!P20</f>
        <v>0</v>
      </c>
      <c r="DD9" s="1031"/>
      <c r="DE9" s="1055" t="s">
        <v>125</v>
      </c>
      <c r="DF9" s="1055"/>
      <c r="DG9" s="1055"/>
      <c r="DH9" s="1055"/>
      <c r="DI9" s="1031">
        <f>'Work Scope'!U20</f>
        <v>0</v>
      </c>
      <c r="DJ9" s="1031"/>
      <c r="DK9" s="1031"/>
      <c r="DL9" s="1031"/>
    </row>
    <row r="10" spans="1:116" s="2" customFormat="1" ht="18" customHeight="1">
      <c r="A10" s="221"/>
      <c r="B10" s="221"/>
      <c r="C10" s="221"/>
      <c r="D10" s="221"/>
      <c r="E10" s="221"/>
      <c r="F10" s="221"/>
      <c r="G10" s="221"/>
      <c r="H10" s="221"/>
      <c r="I10" s="221"/>
      <c r="J10" s="221"/>
      <c r="K10" s="221"/>
      <c r="L10" s="221"/>
      <c r="M10" s="221"/>
      <c r="N10" s="221"/>
      <c r="O10" s="221"/>
      <c r="P10" s="221"/>
      <c r="Q10" s="221"/>
      <c r="R10" s="221"/>
      <c r="S10" s="221"/>
      <c r="T10" s="221"/>
      <c r="U10" s="221"/>
      <c r="V10" s="221"/>
      <c r="W10" s="221"/>
      <c r="X10" s="221"/>
      <c r="Y10" s="221"/>
      <c r="Z10" s="221"/>
      <c r="AA10" s="221"/>
      <c r="AB10" s="221"/>
      <c r="AC10" s="221"/>
      <c r="AD10" s="221"/>
      <c r="AE10" s="221"/>
      <c r="AF10" s="221"/>
      <c r="AG10" s="221"/>
      <c r="AH10" s="1017" t="s">
        <v>38</v>
      </c>
      <c r="AI10" s="1017"/>
      <c r="AJ10" s="1017"/>
      <c r="AK10" s="1017"/>
      <c r="AL10" s="1017"/>
      <c r="AM10" s="1017"/>
      <c r="AN10" s="1017"/>
      <c r="AO10" s="1017"/>
      <c r="AP10" s="1017"/>
      <c r="AQ10" s="1017"/>
      <c r="AR10" s="1017"/>
      <c r="AS10" s="1017"/>
      <c r="AT10" s="1017"/>
      <c r="AU10" s="1017"/>
      <c r="AV10" s="1017"/>
      <c r="AW10" s="1033">
        <f>'Work Scope'!T21</f>
        <v>0</v>
      </c>
      <c r="AX10" s="1034"/>
      <c r="AY10" s="1034"/>
      <c r="AZ10" s="1027">
        <f>'Work Scope'!B21</f>
        <v>0</v>
      </c>
      <c r="BA10" s="1028"/>
      <c r="BB10" s="1041">
        <f>'Work Scope'!X21</f>
        <v>0</v>
      </c>
      <c r="BC10" s="1042"/>
      <c r="BD10" s="1042"/>
      <c r="BE10" s="1042"/>
      <c r="BF10" s="1041">
        <f>'Work Scope'!N21</f>
        <v>0</v>
      </c>
      <c r="BG10" s="1042"/>
      <c r="BH10" s="1042"/>
      <c r="BI10" s="1042"/>
      <c r="BJ10" s="1000" t="e">
        <f t="shared" si="0"/>
        <v>#DIV/0!</v>
      </c>
      <c r="BK10" s="1001"/>
      <c r="BL10" s="1001"/>
      <c r="BM10" s="1037"/>
      <c r="BN10" s="1000">
        <f>'HE-PY24 Pricing'!B10</f>
        <v>5.05</v>
      </c>
      <c r="BO10" s="1001"/>
      <c r="BP10" s="1001"/>
      <c r="BQ10" s="1037"/>
      <c r="BR10" s="1057" t="s">
        <v>221</v>
      </c>
      <c r="BS10" s="1057"/>
      <c r="BT10" s="1057"/>
      <c r="BU10" s="1057"/>
      <c r="BV10" s="1033">
        <f>'Work Scope'!AA22</f>
        <v>0</v>
      </c>
      <c r="BW10" s="1028"/>
      <c r="BX10" s="1029"/>
      <c r="BY10" s="1057" t="s">
        <v>222</v>
      </c>
      <c r="BZ10" s="1057"/>
      <c r="CA10" s="1057"/>
      <c r="CB10" s="1057"/>
      <c r="CC10" s="1050">
        <f>'Work Scope'!AF22</f>
        <v>0</v>
      </c>
      <c r="CD10" s="1051"/>
      <c r="CE10" s="1051"/>
      <c r="CF10" s="1053" t="s">
        <v>116</v>
      </c>
      <c r="CG10" s="1054"/>
      <c r="CH10" s="1054"/>
      <c r="CI10" s="1054"/>
      <c r="CJ10" s="1054"/>
      <c r="CK10" s="1049">
        <f>'Work Scope'!AK22</f>
        <v>0</v>
      </c>
      <c r="CL10" s="1049"/>
      <c r="CM10" s="1049"/>
      <c r="CN10" s="1049"/>
      <c r="CO10" s="1049"/>
      <c r="CP10" s="1049"/>
    </row>
    <row r="11" spans="1:116" s="2" customFormat="1" ht="18" customHeight="1">
      <c r="A11" s="250" t="s">
        <v>4</v>
      </c>
      <c r="B11" s="221"/>
      <c r="C11" s="221"/>
      <c r="D11" s="221"/>
      <c r="E11" s="221"/>
      <c r="F11" s="221"/>
      <c r="G11" s="221"/>
      <c r="H11" s="221"/>
      <c r="I11" s="221"/>
      <c r="J11" s="221"/>
      <c r="K11" s="221"/>
      <c r="L11" s="221"/>
      <c r="M11" s="221"/>
      <c r="N11" s="221"/>
      <c r="O11" s="221"/>
      <c r="P11" s="221"/>
      <c r="Q11" s="221"/>
      <c r="R11" s="250" t="s">
        <v>5</v>
      </c>
      <c r="S11" s="221"/>
      <c r="T11" s="221"/>
      <c r="U11" s="221"/>
      <c r="V11" s="221"/>
      <c r="W11" s="221"/>
      <c r="X11" s="221"/>
      <c r="Y11" s="221"/>
      <c r="Z11" s="221"/>
      <c r="AA11" s="221"/>
      <c r="AB11" s="221"/>
      <c r="AC11" s="221"/>
      <c r="AD11" s="221"/>
      <c r="AE11" s="221"/>
      <c r="AF11" s="221"/>
      <c r="AG11" s="221"/>
      <c r="AH11" s="1002" t="s">
        <v>40</v>
      </c>
      <c r="AI11" s="1002"/>
      <c r="AJ11" s="1002"/>
      <c r="AK11" s="1002"/>
      <c r="AL11" s="1002"/>
      <c r="AM11" s="1002"/>
      <c r="AN11" s="1002"/>
      <c r="AO11" s="1002"/>
      <c r="AP11" s="1002"/>
      <c r="AQ11" s="1002"/>
      <c r="AR11" s="1002"/>
      <c r="AS11" s="1002"/>
      <c r="AT11" s="1002"/>
      <c r="AU11" s="1002"/>
      <c r="AV11" s="1002"/>
      <c r="AW11" s="1035">
        <f>'Work Scope'!T23</f>
        <v>0</v>
      </c>
      <c r="AX11" s="1036"/>
      <c r="AY11" s="1036"/>
      <c r="AZ11" s="1024">
        <f>'Work Scope'!B23</f>
        <v>0</v>
      </c>
      <c r="BA11" s="1025"/>
      <c r="BB11" s="1043">
        <f>'Work Scope'!X23</f>
        <v>0</v>
      </c>
      <c r="BC11" s="1044"/>
      <c r="BD11" s="1044"/>
      <c r="BE11" s="1044"/>
      <c r="BF11" s="1043">
        <f>'Work Scope'!N23</f>
        <v>0</v>
      </c>
      <c r="BG11" s="1044"/>
      <c r="BH11" s="1044"/>
      <c r="BI11" s="1044"/>
      <c r="BJ11" s="1038" t="e">
        <f t="shared" si="0"/>
        <v>#DIV/0!</v>
      </c>
      <c r="BK11" s="1039"/>
      <c r="BL11" s="1039"/>
      <c r="BM11" s="1040"/>
      <c r="BN11" s="1038">
        <f>'HE-PY24 Pricing'!B11</f>
        <v>2.2999999999999998</v>
      </c>
      <c r="BO11" s="1039"/>
      <c r="BP11" s="1039"/>
      <c r="BQ11" s="1040"/>
      <c r="BR11" s="1055" t="s">
        <v>221</v>
      </c>
      <c r="BS11" s="1055"/>
      <c r="BT11" s="1055"/>
      <c r="BU11" s="1055"/>
      <c r="BV11" s="1035">
        <f>'Work Scope'!AA24</f>
        <v>0</v>
      </c>
      <c r="BW11" s="1025"/>
      <c r="BX11" s="1026"/>
      <c r="BY11" s="1055" t="s">
        <v>222</v>
      </c>
      <c r="BZ11" s="1055"/>
      <c r="CA11" s="1055"/>
      <c r="CB11" s="1055"/>
      <c r="CC11" s="1048">
        <f>'Work Scope'!AF24</f>
        <v>0</v>
      </c>
      <c r="CD11" s="1031"/>
      <c r="CE11" s="1031"/>
      <c r="CF11" s="1052" t="s">
        <v>116</v>
      </c>
      <c r="CG11" s="1032"/>
      <c r="CH11" s="1032"/>
      <c r="CI11" s="1032"/>
      <c r="CJ11" s="1032"/>
      <c r="CK11" s="979">
        <f>'Work Scope'!AK24</f>
        <v>0</v>
      </c>
      <c r="CL11" s="979"/>
      <c r="CM11" s="979"/>
      <c r="CN11" s="979"/>
      <c r="CO11" s="979"/>
      <c r="CP11" s="979"/>
      <c r="CQ11" s="1059" t="s">
        <v>646</v>
      </c>
      <c r="CR11" s="1059"/>
      <c r="CS11" s="1059"/>
      <c r="CT11" s="1059"/>
      <c r="CU11" s="1059"/>
      <c r="CV11" s="1059"/>
      <c r="CW11" s="1059"/>
      <c r="CX11" s="1059"/>
      <c r="CY11" s="1059"/>
      <c r="CZ11" s="1059"/>
      <c r="DA11" s="1059"/>
      <c r="DB11" s="1059"/>
      <c r="DC11" s="1059"/>
      <c r="DD11" s="1059"/>
      <c r="DE11" s="1031">
        <f>'Work Scope'!N24</f>
        <v>0</v>
      </c>
      <c r="DF11" s="1031"/>
    </row>
    <row r="12" spans="1:116" s="2" customFormat="1" ht="18" customHeight="1">
      <c r="A12" s="1003" t="s">
        <v>521</v>
      </c>
      <c r="B12" s="1003"/>
      <c r="C12" s="1003"/>
      <c r="D12" s="1003"/>
      <c r="E12" s="1004"/>
      <c r="F12" s="1008">
        <f>'Project Information'!D27</f>
        <v>0</v>
      </c>
      <c r="G12" s="1008"/>
      <c r="H12" s="1008"/>
      <c r="I12" s="1008"/>
      <c r="J12" s="1008"/>
      <c r="K12" s="1008"/>
      <c r="L12" s="1008"/>
      <c r="M12" s="1008"/>
      <c r="N12" s="1008"/>
      <c r="O12" s="1008"/>
      <c r="P12" s="250"/>
      <c r="Q12" s="221"/>
      <c r="R12" s="1003" t="s">
        <v>521</v>
      </c>
      <c r="S12" s="1003"/>
      <c r="T12" s="1003"/>
      <c r="U12" s="1003"/>
      <c r="V12" s="1004"/>
      <c r="W12" s="1008">
        <f>'Project Information'!X27</f>
        <v>0</v>
      </c>
      <c r="X12" s="1008"/>
      <c r="Y12" s="1008"/>
      <c r="Z12" s="1008"/>
      <c r="AA12" s="1008"/>
      <c r="AB12" s="1008"/>
      <c r="AC12" s="1008"/>
      <c r="AD12" s="1008"/>
      <c r="AE12" s="1008"/>
      <c r="AF12" s="1008"/>
      <c r="AG12" s="221"/>
      <c r="AH12" s="1017" t="s">
        <v>39</v>
      </c>
      <c r="AI12" s="1017"/>
      <c r="AJ12" s="1017"/>
      <c r="AK12" s="1017"/>
      <c r="AL12" s="1017"/>
      <c r="AM12" s="1017"/>
      <c r="AN12" s="1017"/>
      <c r="AO12" s="1017"/>
      <c r="AP12" s="1017"/>
      <c r="AQ12" s="1017"/>
      <c r="AR12" s="1017"/>
      <c r="AS12" s="1017"/>
      <c r="AT12" s="1017"/>
      <c r="AU12" s="1017"/>
      <c r="AV12" s="1017"/>
      <c r="AW12" s="1033">
        <f>'Work Scope'!T25</f>
        <v>0</v>
      </c>
      <c r="AX12" s="1034"/>
      <c r="AY12" s="1034"/>
      <c r="AZ12" s="1027">
        <f>'Work Scope'!B25</f>
        <v>0</v>
      </c>
      <c r="BA12" s="1028"/>
      <c r="BB12" s="1041">
        <f>'Work Scope'!X25</f>
        <v>0</v>
      </c>
      <c r="BC12" s="1042"/>
      <c r="BD12" s="1042"/>
      <c r="BE12" s="1042"/>
      <c r="BF12" s="1041">
        <f>'Work Scope'!N25</f>
        <v>0</v>
      </c>
      <c r="BG12" s="1042"/>
      <c r="BH12" s="1042"/>
      <c r="BI12" s="1042"/>
      <c r="BJ12" s="1000" t="e">
        <f t="shared" si="0"/>
        <v>#DIV/0!</v>
      </c>
      <c r="BK12" s="1001"/>
      <c r="BL12" s="1001"/>
      <c r="BM12" s="1037"/>
      <c r="BN12" s="1000">
        <f>'HE-PY24 Pricing'!B12</f>
        <v>5.05</v>
      </c>
      <c r="BO12" s="1001"/>
      <c r="BP12" s="1001"/>
      <c r="BQ12" s="1037"/>
      <c r="BR12" s="1057" t="s">
        <v>221</v>
      </c>
      <c r="BS12" s="1057"/>
      <c r="BT12" s="1057"/>
      <c r="BU12" s="1057"/>
      <c r="BV12" s="1033">
        <f>'Work Scope'!AA26</f>
        <v>0</v>
      </c>
      <c r="BW12" s="1028"/>
      <c r="BX12" s="1029"/>
      <c r="BY12" s="1057" t="s">
        <v>222</v>
      </c>
      <c r="BZ12" s="1057"/>
      <c r="CA12" s="1057"/>
      <c r="CB12" s="1057"/>
      <c r="CC12" s="1050">
        <f>'Work Scope'!AF26</f>
        <v>0</v>
      </c>
      <c r="CD12" s="1051"/>
      <c r="CE12" s="1051"/>
      <c r="CF12" s="1053" t="s">
        <v>116</v>
      </c>
      <c r="CG12" s="1054"/>
      <c r="CH12" s="1054"/>
      <c r="CI12" s="1054"/>
      <c r="CJ12" s="1054"/>
      <c r="CK12" s="1049">
        <f>'Work Scope'!AK26</f>
        <v>0</v>
      </c>
      <c r="CL12" s="1049"/>
      <c r="CM12" s="1049"/>
      <c r="CN12" s="1049"/>
      <c r="CO12" s="1049"/>
      <c r="CP12" s="1049"/>
    </row>
    <row r="13" spans="1:116" s="2" customFormat="1" ht="18" customHeight="1">
      <c r="A13" s="1009" t="s">
        <v>100</v>
      </c>
      <c r="B13" s="1009"/>
      <c r="C13" s="1009"/>
      <c r="D13" s="1009"/>
      <c r="E13" s="1010"/>
      <c r="F13" s="1006">
        <f>'Project Information'!F30</f>
        <v>0</v>
      </c>
      <c r="G13" s="1006"/>
      <c r="H13" s="1006"/>
      <c r="I13" s="1006"/>
      <c r="J13" s="1006"/>
      <c r="K13" s="1006"/>
      <c r="L13" s="1006"/>
      <c r="M13" s="1006"/>
      <c r="N13" s="1006"/>
      <c r="O13" s="1006"/>
      <c r="P13" s="250"/>
      <c r="Q13" s="221"/>
      <c r="R13" s="1009" t="s">
        <v>100</v>
      </c>
      <c r="S13" s="1009"/>
      <c r="T13" s="1009"/>
      <c r="U13" s="1009"/>
      <c r="V13" s="1010"/>
      <c r="W13" s="1006">
        <f>'Project Information'!Z30</f>
        <v>0</v>
      </c>
      <c r="X13" s="1006"/>
      <c r="Y13" s="1006"/>
      <c r="Z13" s="1006"/>
      <c r="AA13" s="1006"/>
      <c r="AB13" s="1006"/>
      <c r="AC13" s="1006"/>
      <c r="AD13" s="1006"/>
      <c r="AE13" s="1006"/>
      <c r="AF13" s="1006"/>
      <c r="AG13" s="221"/>
      <c r="AH13" s="1002" t="str">
        <f>'Work Scope'!D27</f>
        <v>Crawl Space Wall Insulation
[R0 to R10 or Greater]</v>
      </c>
      <c r="AI13" s="1002"/>
      <c r="AJ13" s="1002"/>
      <c r="AK13" s="1002"/>
      <c r="AL13" s="1002"/>
      <c r="AM13" s="1002"/>
      <c r="AN13" s="1002"/>
      <c r="AO13" s="1002"/>
      <c r="AP13" s="1002"/>
      <c r="AQ13" s="1002"/>
      <c r="AR13" s="1002"/>
      <c r="AS13" s="1002"/>
      <c r="AT13" s="1002"/>
      <c r="AU13" s="1002"/>
      <c r="AV13" s="1002"/>
      <c r="AW13" s="1035">
        <f>'Work Scope'!T27</f>
        <v>0</v>
      </c>
      <c r="AX13" s="1036"/>
      <c r="AY13" s="1036"/>
      <c r="AZ13" s="1024">
        <f>'Work Scope'!B27</f>
        <v>0</v>
      </c>
      <c r="BA13" s="1025"/>
      <c r="BB13" s="1043">
        <f>'Work Scope'!X27</f>
        <v>0</v>
      </c>
      <c r="BC13" s="1044"/>
      <c r="BD13" s="1044"/>
      <c r="BE13" s="1044"/>
      <c r="BF13" s="1043">
        <f>'Work Scope'!N27</f>
        <v>0</v>
      </c>
      <c r="BG13" s="1044"/>
      <c r="BH13" s="1044"/>
      <c r="BI13" s="1044"/>
      <c r="BJ13" s="1038" t="e">
        <f t="shared" si="0"/>
        <v>#DIV/0!</v>
      </c>
      <c r="BK13" s="1039"/>
      <c r="BL13" s="1039"/>
      <c r="BM13" s="1040"/>
      <c r="BN13" s="1038">
        <f>IF(AH13=Measures!I26,'HE-PY24 Pricing'!B14,IF(AH13=Measures!I27,'HE-PY24 Pricing'!B15,0))</f>
        <v>0</v>
      </c>
      <c r="BO13" s="1039"/>
      <c r="BP13" s="1039"/>
      <c r="BQ13" s="1040"/>
      <c r="BR13" s="1055" t="s">
        <v>221</v>
      </c>
      <c r="BS13" s="1055"/>
      <c r="BT13" s="1055"/>
      <c r="BU13" s="1055"/>
      <c r="BV13" s="1035">
        <f>'Work Scope'!AA28</f>
        <v>0</v>
      </c>
      <c r="BW13" s="1025"/>
      <c r="BX13" s="1026"/>
      <c r="BY13" s="1055" t="s">
        <v>222</v>
      </c>
      <c r="BZ13" s="1055"/>
      <c r="CA13" s="1055"/>
      <c r="CB13" s="1055"/>
      <c r="CC13" s="1048">
        <f>'Work Scope'!AF28</f>
        <v>0</v>
      </c>
      <c r="CD13" s="1031"/>
      <c r="CE13" s="1031"/>
      <c r="CF13" s="1052" t="s">
        <v>116</v>
      </c>
      <c r="CG13" s="1032"/>
      <c r="CH13" s="1032"/>
      <c r="CI13" s="1032"/>
      <c r="CJ13" s="1032"/>
      <c r="CK13" s="979">
        <f>'Work Scope'!AK28</f>
        <v>0</v>
      </c>
      <c r="CL13" s="979"/>
      <c r="CM13" s="979"/>
      <c r="CN13" s="979"/>
      <c r="CO13" s="979"/>
      <c r="CP13" s="979"/>
    </row>
    <row r="14" spans="1:116" s="2" customFormat="1" ht="18" customHeight="1">
      <c r="A14" s="1003" t="s">
        <v>148</v>
      </c>
      <c r="B14" s="1003"/>
      <c r="C14" s="1003"/>
      <c r="D14" s="1003"/>
      <c r="E14" s="1004"/>
      <c r="F14" s="1007">
        <f>'Project Information'!O30</f>
        <v>0</v>
      </c>
      <c r="G14" s="1007"/>
      <c r="H14" s="1007"/>
      <c r="I14" s="1007"/>
      <c r="J14" s="1007"/>
      <c r="K14" s="1007"/>
      <c r="L14" s="1007"/>
      <c r="M14" s="1007"/>
      <c r="N14" s="1007"/>
      <c r="O14" s="1007"/>
      <c r="P14" s="250"/>
      <c r="Q14" s="221"/>
      <c r="R14" s="1003" t="s">
        <v>148</v>
      </c>
      <c r="S14" s="1003"/>
      <c r="T14" s="1003"/>
      <c r="U14" s="1003"/>
      <c r="V14" s="1004"/>
      <c r="W14" s="1007">
        <f>'Project Information'!AI30</f>
        <v>0</v>
      </c>
      <c r="X14" s="1007"/>
      <c r="Y14" s="1007"/>
      <c r="Z14" s="1007"/>
      <c r="AA14" s="1007"/>
      <c r="AB14" s="1007"/>
      <c r="AC14" s="1007"/>
      <c r="AD14" s="1007"/>
      <c r="AE14" s="1007"/>
      <c r="AF14" s="1007"/>
      <c r="AG14" s="221"/>
      <c r="AH14" s="1017" t="s">
        <v>69</v>
      </c>
      <c r="AI14" s="1017"/>
      <c r="AJ14" s="1017"/>
      <c r="AK14" s="1017"/>
      <c r="AL14" s="1017"/>
      <c r="AM14" s="1017"/>
      <c r="AN14" s="1017"/>
      <c r="AO14" s="1017"/>
      <c r="AP14" s="1017"/>
      <c r="AQ14" s="1017"/>
      <c r="AR14" s="1017"/>
      <c r="AS14" s="1017"/>
      <c r="AT14" s="1017"/>
      <c r="AU14" s="1017"/>
      <c r="AV14" s="1017"/>
      <c r="AW14" s="1033">
        <f>'Work Scope'!T29</f>
        <v>0</v>
      </c>
      <c r="AX14" s="1034"/>
      <c r="AY14" s="1034"/>
      <c r="AZ14" s="1027">
        <f>'Work Scope'!B29</f>
        <v>0</v>
      </c>
      <c r="BA14" s="1028"/>
      <c r="BB14" s="1041">
        <f>'Work Scope'!X29</f>
        <v>0</v>
      </c>
      <c r="BC14" s="1042"/>
      <c r="BD14" s="1042"/>
      <c r="BE14" s="1042"/>
      <c r="BF14" s="1041">
        <f>'Work Scope'!N29</f>
        <v>0</v>
      </c>
      <c r="BG14" s="1042"/>
      <c r="BH14" s="1042"/>
      <c r="BI14" s="1042"/>
      <c r="BJ14" s="1000" t="e">
        <f t="shared" ref="BJ14:BJ16" si="2">BB14/AW14</f>
        <v>#DIV/0!</v>
      </c>
      <c r="BK14" s="1001"/>
      <c r="BL14" s="1001"/>
      <c r="BM14" s="1037"/>
      <c r="BN14" s="1000">
        <f>'HE-PY24 Pricing'!B93</f>
        <v>505</v>
      </c>
      <c r="BO14" s="1001"/>
      <c r="BP14" s="1001"/>
      <c r="BQ14" s="1037"/>
      <c r="BR14" s="1057" t="s">
        <v>223</v>
      </c>
      <c r="BS14" s="1057"/>
      <c r="BT14" s="1057"/>
      <c r="BU14" s="1057"/>
      <c r="BV14" s="1065">
        <f>'Work Scope'!W30</f>
        <v>0</v>
      </c>
      <c r="BW14" s="1028"/>
      <c r="BX14" s="1029"/>
      <c r="BY14" s="1057" t="s">
        <v>224</v>
      </c>
      <c r="BZ14" s="1057"/>
      <c r="CA14" s="1057"/>
      <c r="CB14" s="1057"/>
      <c r="CC14" s="1064">
        <f>'Work Scope'!AF30</f>
        <v>0</v>
      </c>
      <c r="CD14" s="1051"/>
      <c r="CE14" s="1051"/>
      <c r="CF14" s="1053" t="s">
        <v>116</v>
      </c>
      <c r="CG14" s="1054"/>
      <c r="CH14" s="1054"/>
      <c r="CI14" s="1054"/>
      <c r="CJ14" s="1054"/>
      <c r="CK14" s="1049">
        <f>'Work Scope'!AK30</f>
        <v>0</v>
      </c>
      <c r="CL14" s="1049"/>
      <c r="CM14" s="1049"/>
      <c r="CN14" s="1049"/>
      <c r="CO14" s="1049"/>
      <c r="CP14" s="1049"/>
      <c r="CQ14" s="1057" t="s">
        <v>135</v>
      </c>
      <c r="CR14" s="1057"/>
      <c r="CS14" s="1057"/>
      <c r="CT14" s="1057"/>
      <c r="CU14" s="1057"/>
      <c r="CV14" s="1057"/>
      <c r="CW14" s="1057"/>
      <c r="CX14" s="1057"/>
      <c r="CY14" s="1057"/>
      <c r="CZ14" s="1057"/>
      <c r="DA14" s="1057"/>
      <c r="DB14" s="1057"/>
      <c r="DC14" s="1064">
        <f>'Work Scope'!N30</f>
        <v>0</v>
      </c>
      <c r="DD14" s="1051"/>
    </row>
    <row r="15" spans="1:116" s="2" customFormat="1" ht="18" customHeight="1">
      <c r="A15" s="1009" t="s">
        <v>205</v>
      </c>
      <c r="B15" s="1009"/>
      <c r="C15" s="1009"/>
      <c r="D15" s="1009"/>
      <c r="E15" s="1010"/>
      <c r="F15" s="1006" t="str">
        <f>IF('Project Information'!F33="","",2024-'Project Information'!F33)</f>
        <v/>
      </c>
      <c r="G15" s="1006"/>
      <c r="H15" s="1006"/>
      <c r="I15" s="1006"/>
      <c r="J15" s="1006"/>
      <c r="K15" s="1006"/>
      <c r="L15" s="1006"/>
      <c r="M15" s="1006"/>
      <c r="N15" s="1006"/>
      <c r="O15" s="1006"/>
      <c r="P15" s="250"/>
      <c r="Q15" s="221"/>
      <c r="R15" s="1009" t="s">
        <v>205</v>
      </c>
      <c r="S15" s="1009"/>
      <c r="T15" s="1009"/>
      <c r="U15" s="1009"/>
      <c r="V15" s="1010"/>
      <c r="W15" s="1006" t="str">
        <f>IF('Project Information'!AB33="","",2024-'Project Information'!AB33)</f>
        <v/>
      </c>
      <c r="X15" s="1006"/>
      <c r="Y15" s="1006"/>
      <c r="Z15" s="1006"/>
      <c r="AA15" s="1006"/>
      <c r="AB15" s="1006"/>
      <c r="AC15" s="1006"/>
      <c r="AD15" s="1006"/>
      <c r="AE15" s="1006"/>
      <c r="AF15" s="1006"/>
      <c r="AG15" s="221"/>
      <c r="AH15" s="221" t="str">
        <f>'Work Scope'!D35</f>
        <v>Exhaust Fan w/out Light</v>
      </c>
      <c r="AI15" s="221"/>
      <c r="AJ15" s="221"/>
      <c r="AK15" s="221"/>
      <c r="AL15" s="221"/>
      <c r="AM15" s="221"/>
      <c r="AN15" s="221"/>
      <c r="AO15" s="221"/>
      <c r="AP15" s="221"/>
      <c r="AQ15" s="221"/>
      <c r="AR15" s="1024">
        <f>'Work Scope'!R36</f>
        <v>0</v>
      </c>
      <c r="AS15" s="1025"/>
      <c r="AT15" s="1025"/>
      <c r="AU15" s="1025"/>
      <c r="AV15" s="1026"/>
      <c r="AW15" s="1035">
        <f>'Work Scope'!T35</f>
        <v>0</v>
      </c>
      <c r="AX15" s="1036"/>
      <c r="AY15" s="1036"/>
      <c r="AZ15" s="1024">
        <f>'Work Scope'!B35</f>
        <v>0</v>
      </c>
      <c r="BA15" s="1025"/>
      <c r="BB15" s="1043">
        <f>'Work Scope'!X35</f>
        <v>0</v>
      </c>
      <c r="BC15" s="1044"/>
      <c r="BD15" s="1044"/>
      <c r="BE15" s="1044"/>
      <c r="BF15" s="1043">
        <f>'Work Scope'!N35</f>
        <v>0</v>
      </c>
      <c r="BG15" s="1044"/>
      <c r="BH15" s="1044"/>
      <c r="BI15" s="1044"/>
      <c r="BJ15" s="1038" t="e">
        <f t="shared" si="2"/>
        <v>#DIV/0!</v>
      </c>
      <c r="BK15" s="1039"/>
      <c r="BL15" s="1039"/>
      <c r="BM15" s="1040"/>
      <c r="BN15" s="1038">
        <f>IF(AH15=Measures!I30,'HE-PY24 Pricing'!B91,IF(AH15=Measures!I31,'HE-PY24 Pricing'!B92,0))</f>
        <v>525</v>
      </c>
      <c r="BO15" s="1039"/>
      <c r="BP15" s="1039"/>
      <c r="BQ15" s="1040"/>
      <c r="BR15" s="1055" t="s">
        <v>500</v>
      </c>
      <c r="BS15" s="1055"/>
      <c r="BT15" s="1055"/>
      <c r="BU15" s="1055"/>
      <c r="BV15" s="979">
        <f>'Work Scope'!AB36</f>
        <v>0</v>
      </c>
      <c r="BW15" s="979"/>
      <c r="BX15" s="979"/>
      <c r="BY15" s="979"/>
      <c r="BZ15" s="979"/>
      <c r="CA15" s="979"/>
      <c r="CB15" s="979"/>
      <c r="CC15" s="1068" t="s">
        <v>148</v>
      </c>
      <c r="CD15" s="1069"/>
      <c r="CE15" s="1069"/>
      <c r="CF15" s="979">
        <f>'Work Scope'!AK36</f>
        <v>0</v>
      </c>
      <c r="CG15" s="979"/>
      <c r="CH15" s="979"/>
      <c r="CI15" s="979"/>
      <c r="CJ15" s="979"/>
      <c r="CK15" s="979"/>
      <c r="CL15" s="979"/>
      <c r="CM15" s="979"/>
      <c r="CN15" s="979"/>
      <c r="CO15" s="979"/>
      <c r="CP15" s="979"/>
    </row>
    <row r="16" spans="1:116" s="2" customFormat="1" ht="18" customHeight="1">
      <c r="A16" s="1003" t="s">
        <v>149</v>
      </c>
      <c r="B16" s="1003"/>
      <c r="C16" s="1003"/>
      <c r="D16" s="1003"/>
      <c r="E16" s="1004"/>
      <c r="F16" s="1015">
        <f>'Project Information'!R27</f>
        <v>0</v>
      </c>
      <c r="G16" s="1015"/>
      <c r="H16" s="1015"/>
      <c r="I16" s="1015"/>
      <c r="J16" s="1015"/>
      <c r="K16" s="1015"/>
      <c r="L16" s="1015"/>
      <c r="M16" s="1015"/>
      <c r="N16" s="1015"/>
      <c r="O16" s="1015"/>
      <c r="P16" s="253"/>
      <c r="Q16" s="221"/>
      <c r="R16" s="1003" t="s">
        <v>523</v>
      </c>
      <c r="S16" s="1003"/>
      <c r="T16" s="1003"/>
      <c r="U16" s="1003"/>
      <c r="V16" s="1004"/>
      <c r="W16" s="1005">
        <f>'Project Information'!AL27</f>
        <v>0</v>
      </c>
      <c r="X16" s="1005"/>
      <c r="Y16" s="1005"/>
      <c r="Z16" s="1005"/>
      <c r="AA16" s="1005"/>
      <c r="AB16" s="1005"/>
      <c r="AC16" s="1005"/>
      <c r="AD16" s="1005"/>
      <c r="AE16" s="1005"/>
      <c r="AF16" s="1005"/>
      <c r="AG16" s="221"/>
      <c r="AH16" s="249" t="s">
        <v>41</v>
      </c>
      <c r="AI16" s="249"/>
      <c r="AJ16" s="249"/>
      <c r="AK16" s="249"/>
      <c r="AL16" s="249"/>
      <c r="AM16" s="249"/>
      <c r="AN16" s="249"/>
      <c r="AO16" s="249"/>
      <c r="AP16" s="249"/>
      <c r="AQ16" s="249"/>
      <c r="AR16" s="1027">
        <f>'Work Scope'!R38</f>
        <v>0</v>
      </c>
      <c r="AS16" s="1028"/>
      <c r="AT16" s="1028"/>
      <c r="AU16" s="1028"/>
      <c r="AV16" s="1029"/>
      <c r="AW16" s="1033">
        <f>'Work Scope'!T37</f>
        <v>0</v>
      </c>
      <c r="AX16" s="1034"/>
      <c r="AY16" s="1034"/>
      <c r="AZ16" s="1027">
        <f>'Work Scope'!B37</f>
        <v>0</v>
      </c>
      <c r="BA16" s="1028"/>
      <c r="BB16" s="1041">
        <f>'Work Scope'!X37</f>
        <v>0</v>
      </c>
      <c r="BC16" s="1042"/>
      <c r="BD16" s="1042"/>
      <c r="BE16" s="1042"/>
      <c r="BF16" s="1041">
        <f>'Work Scope'!N37</f>
        <v>0</v>
      </c>
      <c r="BG16" s="1042"/>
      <c r="BH16" s="1042"/>
      <c r="BI16" s="1042"/>
      <c r="BJ16" s="1000" t="e">
        <f t="shared" si="2"/>
        <v>#DIV/0!</v>
      </c>
      <c r="BK16" s="1001"/>
      <c r="BL16" s="1001"/>
      <c r="BM16" s="1037"/>
      <c r="BN16" s="1000">
        <f>'HE-PY24 Pricing'!B90</f>
        <v>380</v>
      </c>
      <c r="BO16" s="1001"/>
      <c r="BP16" s="1001"/>
      <c r="BQ16" s="1037"/>
      <c r="BR16" s="1057" t="s">
        <v>500</v>
      </c>
      <c r="BS16" s="1057"/>
      <c r="BT16" s="1057"/>
      <c r="BU16" s="1057"/>
      <c r="BV16" s="1049">
        <f>'Work Scope'!AB38</f>
        <v>0</v>
      </c>
      <c r="BW16" s="1049"/>
      <c r="BX16" s="1049"/>
      <c r="BY16" s="1049"/>
      <c r="BZ16" s="1049"/>
      <c r="CA16" s="1049"/>
      <c r="CB16" s="1049"/>
      <c r="CC16" s="1066" t="s">
        <v>148</v>
      </c>
      <c r="CD16" s="1009"/>
      <c r="CE16" s="1009"/>
      <c r="CF16" s="1049">
        <f>'Work Scope'!AK38</f>
        <v>0</v>
      </c>
      <c r="CG16" s="1049"/>
      <c r="CH16" s="1049"/>
      <c r="CI16" s="1049"/>
      <c r="CJ16" s="1049"/>
      <c r="CK16" s="1049"/>
      <c r="CL16" s="1049"/>
      <c r="CM16" s="1049"/>
      <c r="CN16" s="1049"/>
      <c r="CO16" s="1049"/>
      <c r="CP16" s="1049"/>
    </row>
    <row r="17" spans="1:136" s="2" customFormat="1" ht="18" customHeight="1">
      <c r="A17" s="1009" t="s">
        <v>522</v>
      </c>
      <c r="B17" s="1009"/>
      <c r="C17" s="1009"/>
      <c r="D17" s="1009"/>
      <c r="E17" s="1010"/>
      <c r="F17" s="1008">
        <f>'Project Information'!M33</f>
        <v>0</v>
      </c>
      <c r="G17" s="1008"/>
      <c r="H17" s="1008"/>
      <c r="I17" s="1008"/>
      <c r="J17" s="1008"/>
      <c r="K17" s="1008"/>
      <c r="L17" s="1008"/>
      <c r="M17" s="1008"/>
      <c r="N17" s="1008"/>
      <c r="O17" s="1008"/>
      <c r="P17" s="250"/>
      <c r="Q17" s="221"/>
      <c r="R17" s="1009" t="s">
        <v>524</v>
      </c>
      <c r="S17" s="1009"/>
      <c r="T17" s="1009"/>
      <c r="U17" s="1009"/>
      <c r="V17" s="1010"/>
      <c r="W17" s="1008">
        <f>'Project Information'!AN33</f>
        <v>0</v>
      </c>
      <c r="X17" s="1008"/>
      <c r="Y17" s="1008"/>
      <c r="Z17" s="1008"/>
      <c r="AA17" s="1008"/>
      <c r="AB17" s="1008"/>
      <c r="AC17" s="1008"/>
      <c r="AD17" s="1008"/>
      <c r="AE17" s="1008"/>
      <c r="AF17" s="1008"/>
      <c r="AG17" s="221"/>
      <c r="AH17" s="221" t="str">
        <f>'Work Scope'!D39</f>
        <v>Water Heater 
[Energy Star Certified]</v>
      </c>
      <c r="AI17" s="221"/>
      <c r="AJ17" s="221"/>
      <c r="AK17" s="221"/>
      <c r="AL17" s="221"/>
      <c r="AM17" s="221"/>
      <c r="AN17" s="221"/>
      <c r="AO17" s="221"/>
      <c r="AP17" s="221"/>
      <c r="AQ17" s="221"/>
      <c r="AR17" s="1024">
        <f>'Work Scope'!H40</f>
        <v>0</v>
      </c>
      <c r="AS17" s="1025"/>
      <c r="AT17" s="1025"/>
      <c r="AU17" s="1025"/>
      <c r="AV17" s="1026"/>
      <c r="AW17" s="1035">
        <f>'Work Scope'!T39</f>
        <v>0</v>
      </c>
      <c r="AX17" s="1036"/>
      <c r="AY17" s="1036"/>
      <c r="AZ17" s="1024">
        <f>'Work Scope'!B39</f>
        <v>0</v>
      </c>
      <c r="BA17" s="1025"/>
      <c r="BB17" s="1043">
        <f>'Work Scope'!X39</f>
        <v>0</v>
      </c>
      <c r="BC17" s="1044"/>
      <c r="BD17" s="1044"/>
      <c r="BE17" s="1044"/>
      <c r="BF17" s="1043">
        <f>'Work Scope'!N39</f>
        <v>0</v>
      </c>
      <c r="BG17" s="1044"/>
      <c r="BH17" s="1044"/>
      <c r="BI17" s="1044"/>
      <c r="BJ17" s="1038" t="e">
        <f>BB17/AW17</f>
        <v>#DIV/0!</v>
      </c>
      <c r="BK17" s="1039"/>
      <c r="BL17" s="1039"/>
      <c r="BM17" s="1040"/>
      <c r="BN17" s="1038">
        <f>IF(AH17=Measures!I38,"check size",IF(AH17=Measures!I39,3000,0))</f>
        <v>0</v>
      </c>
      <c r="BO17" s="1039"/>
      <c r="BP17" s="1039"/>
      <c r="BQ17" s="1040"/>
      <c r="BR17" s="1055" t="s">
        <v>500</v>
      </c>
      <c r="BS17" s="1055"/>
      <c r="BT17" s="1055"/>
      <c r="BU17" s="1055"/>
      <c r="BV17" s="979">
        <f>'Work Scope'!T40</f>
        <v>0</v>
      </c>
      <c r="BW17" s="979"/>
      <c r="BX17" s="979"/>
      <c r="BY17" s="979"/>
      <c r="BZ17" s="979"/>
      <c r="CA17" s="979"/>
      <c r="CB17" s="979"/>
      <c r="CC17" s="1068" t="s">
        <v>148</v>
      </c>
      <c r="CD17" s="1069"/>
      <c r="CE17" s="1069"/>
      <c r="CF17" s="979">
        <f>'Work Scope'!AD40</f>
        <v>0</v>
      </c>
      <c r="CG17" s="979"/>
      <c r="CH17" s="979"/>
      <c r="CI17" s="979"/>
      <c r="CJ17" s="979"/>
      <c r="CK17" s="979"/>
      <c r="CL17" s="979"/>
      <c r="CM17" s="979"/>
      <c r="CN17" s="1071" t="s">
        <v>149</v>
      </c>
      <c r="CO17" s="1072"/>
      <c r="CP17" s="1072"/>
      <c r="CQ17" s="1070">
        <f>'Work Scope'!AN40</f>
        <v>0</v>
      </c>
      <c r="CR17" s="1070"/>
    </row>
    <row r="18" spans="1:136" s="2" customFormat="1" ht="18" customHeight="1">
      <c r="A18" s="1002" t="s">
        <v>525</v>
      </c>
      <c r="B18" s="1002"/>
      <c r="C18" s="1002"/>
      <c r="D18" s="1002"/>
      <c r="E18" s="1002"/>
      <c r="F18" s="1002"/>
      <c r="G18" s="1002"/>
      <c r="H18" s="1002"/>
      <c r="I18" s="1002"/>
      <c r="J18" s="1002"/>
      <c r="K18" s="1002"/>
      <c r="L18" s="1002"/>
      <c r="M18" s="1002"/>
      <c r="N18" s="1002"/>
      <c r="O18" s="1002"/>
      <c r="P18" s="1002"/>
      <c r="Q18" s="1002"/>
      <c r="R18" s="1002"/>
      <c r="S18" s="1002"/>
      <c r="T18" s="1002"/>
      <c r="U18" s="1002"/>
      <c r="V18" s="1002"/>
      <c r="W18" s="1002"/>
      <c r="X18" s="1002"/>
      <c r="Y18" s="1002"/>
      <c r="Z18" s="1002"/>
      <c r="AA18" s="1002"/>
      <c r="AB18" s="1002"/>
      <c r="AC18" s="1002"/>
      <c r="AD18" s="1002"/>
      <c r="AE18" s="1002"/>
      <c r="AF18" s="1002"/>
      <c r="AG18" s="221"/>
      <c r="AH18" s="249" t="s">
        <v>225</v>
      </c>
      <c r="AI18" s="249"/>
      <c r="AJ18" s="249"/>
      <c r="AK18" s="249"/>
      <c r="AL18" s="249"/>
      <c r="AM18" s="249"/>
      <c r="AN18" s="249"/>
      <c r="AO18" s="249"/>
      <c r="AP18" s="249"/>
      <c r="AQ18" s="249"/>
      <c r="AR18" s="1027">
        <f>'Work Scope'!H42</f>
        <v>0</v>
      </c>
      <c r="AS18" s="1028"/>
      <c r="AT18" s="1028"/>
      <c r="AU18" s="1028"/>
      <c r="AV18" s="1029"/>
      <c r="AW18" s="1033">
        <f>'Work Scope'!T41</f>
        <v>0</v>
      </c>
      <c r="AX18" s="1034"/>
      <c r="AY18" s="1034"/>
      <c r="AZ18" s="1027">
        <f>'Work Scope'!B41</f>
        <v>0</v>
      </c>
      <c r="BA18" s="1028"/>
      <c r="BB18" s="1041">
        <f>'Work Scope'!X41</f>
        <v>0</v>
      </c>
      <c r="BC18" s="1042"/>
      <c r="BD18" s="1042"/>
      <c r="BE18" s="1042"/>
      <c r="BF18" s="1041">
        <f>'Work Scope'!N41</f>
        <v>0</v>
      </c>
      <c r="BG18" s="1042"/>
      <c r="BH18" s="1042"/>
      <c r="BI18" s="1042"/>
      <c r="BJ18" s="1000" t="e">
        <f>BB18/AW18</f>
        <v>#DIV/0!</v>
      </c>
      <c r="BK18" s="1001"/>
      <c r="BL18" s="1001"/>
      <c r="BM18" s="1037"/>
      <c r="BN18" s="1053" t="s">
        <v>71</v>
      </c>
      <c r="BO18" s="1054"/>
      <c r="BP18" s="1054"/>
      <c r="BQ18" s="1076"/>
      <c r="BR18" s="1057" t="s">
        <v>500</v>
      </c>
      <c r="BS18" s="1057"/>
      <c r="BT18" s="1057"/>
      <c r="BU18" s="1057"/>
      <c r="BV18" s="1049">
        <f>'Work Scope'!P42</f>
        <v>0</v>
      </c>
      <c r="BW18" s="1049"/>
      <c r="BX18" s="1049"/>
      <c r="BY18" s="1049"/>
      <c r="BZ18" s="1049"/>
      <c r="CA18" s="1049"/>
      <c r="CB18" s="1049"/>
      <c r="CC18" s="1066" t="s">
        <v>148</v>
      </c>
      <c r="CD18" s="1009"/>
      <c r="CE18" s="1009"/>
      <c r="CF18" s="1049">
        <f>'Work Scope'!W42</f>
        <v>0</v>
      </c>
      <c r="CG18" s="1049"/>
      <c r="CH18" s="1049"/>
      <c r="CI18" s="1049"/>
      <c r="CJ18" s="1049"/>
      <c r="CK18" s="1049"/>
      <c r="CL18" s="1049"/>
      <c r="CM18" s="1049"/>
      <c r="CN18" s="1066" t="s">
        <v>149</v>
      </c>
      <c r="CO18" s="1009"/>
      <c r="CP18" s="1009"/>
      <c r="CQ18" s="1073">
        <f>'Work Scope'!AH42</f>
        <v>0</v>
      </c>
      <c r="CR18" s="1073"/>
      <c r="CS18" s="1073"/>
      <c r="CT18" s="257" t="s">
        <v>206</v>
      </c>
      <c r="CU18" s="249"/>
      <c r="CV18" s="1075">
        <f>'Work Scope'!AN42</f>
        <v>0</v>
      </c>
      <c r="CW18" s="1075"/>
      <c r="CX18" s="1075"/>
      <c r="CY18" s="249"/>
      <c r="CZ18" s="249"/>
      <c r="DA18" s="249"/>
      <c r="DB18" s="249"/>
      <c r="DC18" s="249"/>
      <c r="DD18" s="249"/>
      <c r="DE18" s="249"/>
    </row>
    <row r="19" spans="1:136" s="2" customFormat="1" ht="18" customHeight="1">
      <c r="A19" s="1002" t="s">
        <v>929</v>
      </c>
      <c r="B19" s="1002"/>
      <c r="C19" s="1002"/>
      <c r="D19" s="1002"/>
      <c r="E19" s="1002"/>
      <c r="F19" s="1002"/>
      <c r="G19" s="1002"/>
      <c r="H19" s="1002"/>
      <c r="I19" s="1002"/>
      <c r="J19" s="1002"/>
      <c r="K19" s="1002"/>
      <c r="L19" s="1002"/>
      <c r="M19" s="1002"/>
      <c r="N19" s="1002"/>
      <c r="O19" s="1002"/>
      <c r="P19" s="1002"/>
      <c r="Q19" s="1002"/>
      <c r="R19" s="1002"/>
      <c r="S19" s="1002"/>
      <c r="T19" s="1002"/>
      <c r="U19" s="1002"/>
      <c r="V19" s="1002"/>
      <c r="W19" s="1002"/>
      <c r="X19" s="1002"/>
      <c r="Y19" s="1002"/>
      <c r="Z19" s="1002"/>
      <c r="AA19" s="1002"/>
      <c r="AB19" s="1002"/>
      <c r="AC19" s="1002"/>
      <c r="AD19" s="1002"/>
      <c r="AE19" s="1002"/>
      <c r="AF19" s="1002"/>
      <c r="AG19" s="221"/>
      <c r="AH19" s="1002" t="str">
        <f>'Work Scope'!D43</f>
        <v>Heating System 1</v>
      </c>
      <c r="AI19" s="1002"/>
      <c r="AJ19" s="1002"/>
      <c r="AK19" s="1002"/>
      <c r="AL19" s="1002"/>
      <c r="AM19" s="1002"/>
      <c r="AN19" s="1002"/>
      <c r="AO19" s="1002"/>
      <c r="AP19" s="1002"/>
      <c r="AQ19" s="1002"/>
      <c r="AR19" s="1002"/>
      <c r="AS19" s="1002"/>
      <c r="AT19" s="1002"/>
      <c r="AU19" s="1002"/>
      <c r="AV19" s="1002"/>
      <c r="AW19" s="1035">
        <f>'Work Scope'!T43</f>
        <v>0</v>
      </c>
      <c r="AX19" s="1025"/>
      <c r="AY19" s="1025"/>
      <c r="AZ19" s="1024">
        <f>'Work Scope'!B43</f>
        <v>0</v>
      </c>
      <c r="BA19" s="1025"/>
      <c r="BB19" s="1043">
        <f>IF(AND('Work Scope'!D43=Measures!I3,'Work Scope'!AO44="X"),'Work Scope'!X43-250,'Work Scope'!X43)</f>
        <v>0</v>
      </c>
      <c r="BC19" s="1044"/>
      <c r="BD19" s="1044"/>
      <c r="BE19" s="1044"/>
      <c r="BF19" s="1043" t="str">
        <f>IF(AND('Work Scope'!D43=Measures!I3,'Work Scope'!AO44="X"),'Work Scope'!AD43-250,'Work Scope'!AD43)</f>
        <v/>
      </c>
      <c r="BG19" s="1044"/>
      <c r="BH19" s="1044"/>
      <c r="BI19" s="1044"/>
      <c r="BJ19" s="404"/>
      <c r="BK19" s="255"/>
      <c r="BL19" s="255"/>
      <c r="BM19" s="405"/>
      <c r="BN19" s="1052" t="s">
        <v>71</v>
      </c>
      <c r="BO19" s="1032"/>
      <c r="BP19" s="1032"/>
      <c r="BQ19" s="1067"/>
      <c r="BR19" s="1055" t="s">
        <v>500</v>
      </c>
      <c r="BS19" s="1055"/>
      <c r="BT19" s="1055"/>
      <c r="BU19" s="1055"/>
      <c r="BV19" s="979">
        <f>'Work Scope'!H44</f>
        <v>0</v>
      </c>
      <c r="BW19" s="979"/>
      <c r="BX19" s="979"/>
      <c r="BY19" s="979"/>
      <c r="BZ19" s="979"/>
      <c r="CA19" s="979"/>
      <c r="CB19" s="979"/>
      <c r="CC19" s="1052" t="s">
        <v>148</v>
      </c>
      <c r="CD19" s="1032"/>
      <c r="CE19" s="1032"/>
      <c r="CF19" s="979">
        <f>'Work Scope'!P44</f>
        <v>0</v>
      </c>
      <c r="CG19" s="979"/>
      <c r="CH19" s="979"/>
      <c r="CI19" s="979"/>
      <c r="CJ19" s="979"/>
      <c r="CK19" s="979"/>
      <c r="CL19" s="979"/>
      <c r="CM19" s="979"/>
      <c r="CN19" s="1068" t="s">
        <v>158</v>
      </c>
      <c r="CO19" s="1069"/>
      <c r="CP19" s="1069"/>
      <c r="CQ19" s="1080">
        <f>'Work Scope'!X44</f>
        <v>0</v>
      </c>
      <c r="CR19" s="1080"/>
      <c r="CS19" s="1080"/>
      <c r="CT19" s="1080"/>
      <c r="CU19" s="1068" t="s">
        <v>149</v>
      </c>
      <c r="CV19" s="1069"/>
      <c r="CW19" s="1069"/>
      <c r="CX19" s="1078">
        <f>'Work Scope'!AI44</f>
        <v>0</v>
      </c>
      <c r="CY19" s="1078"/>
      <c r="CZ19" s="1078"/>
      <c r="DA19" s="1071" t="s">
        <v>159</v>
      </c>
      <c r="DB19" s="1072"/>
      <c r="DC19" s="1077">
        <f>'Work Scope'!AD44</f>
        <v>0</v>
      </c>
      <c r="DD19" s="1077"/>
      <c r="DE19" s="1077"/>
    </row>
    <row r="20" spans="1:136" s="2" customFormat="1" ht="18" customHeight="1">
      <c r="A20" s="221"/>
      <c r="B20" s="221"/>
      <c r="C20" s="221"/>
      <c r="D20" s="221"/>
      <c r="E20" s="221"/>
      <c r="F20" s="221"/>
      <c r="G20" s="221"/>
      <c r="H20" s="221"/>
      <c r="I20" s="221"/>
      <c r="J20" s="221"/>
      <c r="K20" s="221"/>
      <c r="L20" s="221"/>
      <c r="M20" s="221"/>
      <c r="N20" s="221"/>
      <c r="O20" s="221"/>
      <c r="P20" s="221"/>
      <c r="Q20" s="221"/>
      <c r="R20" s="221"/>
      <c r="S20" s="221"/>
      <c r="T20" s="221"/>
      <c r="U20" s="221"/>
      <c r="V20" s="221"/>
      <c r="W20" s="221"/>
      <c r="X20" s="221"/>
      <c r="Y20" s="221"/>
      <c r="Z20" s="221"/>
      <c r="AA20" s="221"/>
      <c r="AB20" s="221"/>
      <c r="AC20" s="221"/>
      <c r="AD20" s="221"/>
      <c r="AE20" s="221"/>
      <c r="AF20" s="221"/>
      <c r="AG20" s="221"/>
      <c r="AH20" s="1017" t="s">
        <v>519</v>
      </c>
      <c r="AI20" s="1017"/>
      <c r="AJ20" s="1017"/>
      <c r="AK20" s="1017"/>
      <c r="AL20" s="1017"/>
      <c r="AM20" s="1017"/>
      <c r="AN20" s="1017"/>
      <c r="AO20" s="1017"/>
      <c r="AP20" s="1017"/>
      <c r="AQ20" s="1017"/>
      <c r="AR20" s="1017"/>
      <c r="AS20" s="1017"/>
      <c r="AT20" s="1017"/>
      <c r="AU20" s="1017"/>
      <c r="AV20" s="1017"/>
      <c r="AW20" s="1027" t="str">
        <f>IF(AND('Project Information'!$J$9="X",'Work Scope'!D43=Measures!$I$3),'Work Scope'!T43,"")</f>
        <v/>
      </c>
      <c r="AX20" s="1028"/>
      <c r="AY20" s="1028"/>
      <c r="AZ20" s="1027" t="str">
        <f>IF(AND('Project Information'!$J$9="X",'Work Scope'!D43=Measures!$I$3),'Work Scope'!B43,"")</f>
        <v/>
      </c>
      <c r="BA20" s="1028"/>
      <c r="BB20" s="1041">
        <f>IF(AND('Project Information'!$J$9="X",'Work Scope'!D43=Measures!$I$3,'Work Scope'!AO46="X"),250,0)</f>
        <v>0</v>
      </c>
      <c r="BC20" s="1042"/>
      <c r="BD20" s="1042"/>
      <c r="BE20" s="1042"/>
      <c r="BF20" s="1041">
        <f>IF(AND('Project Information'!$J$9="X",'Work Scope'!D43=Measures!$I$3,'Work Scope'!AO44="X"),250,0)</f>
        <v>0</v>
      </c>
      <c r="BG20" s="1042"/>
      <c r="BH20" s="1042"/>
      <c r="BI20" s="1042"/>
      <c r="BJ20" s="257"/>
      <c r="BK20" s="406"/>
      <c r="BL20" s="406"/>
      <c r="BM20" s="407"/>
      <c r="BN20" s="1000" t="str">
        <f>IF(AND('Project Information'!$J$9="X",'Work Scope'!D43=Measures!$I$3),250,"")</f>
        <v/>
      </c>
      <c r="BO20" s="1001"/>
      <c r="BP20" s="1001"/>
      <c r="BQ20" s="1037"/>
      <c r="BR20" s="1057" t="s">
        <v>500</v>
      </c>
      <c r="BS20" s="1057"/>
      <c r="BT20" s="1057"/>
      <c r="BU20" s="1057"/>
      <c r="BV20" s="1049" t="str">
        <f>IF(AND('Project Information'!$J$9="X",'Work Scope'!D43=Measures!$I$3),'Work Scope'!H44,"")</f>
        <v/>
      </c>
      <c r="BW20" s="1049"/>
      <c r="BX20" s="1049"/>
      <c r="BY20" s="1049"/>
      <c r="BZ20" s="1049"/>
      <c r="CA20" s="1049"/>
      <c r="CB20" s="1049"/>
      <c r="CC20" s="1066" t="s">
        <v>148</v>
      </c>
      <c r="CD20" s="1009"/>
      <c r="CE20" s="1009"/>
      <c r="CF20" s="1049" t="str">
        <f>IF(AND('Project Information'!$J$9="X",'Work Scope'!D43=Measures!$I$3),'Work Scope'!P44,"")</f>
        <v/>
      </c>
      <c r="CG20" s="1049"/>
      <c r="CH20" s="1049"/>
      <c r="CI20" s="1049"/>
      <c r="CJ20" s="1049"/>
      <c r="CK20" s="1049"/>
      <c r="CL20" s="1049"/>
      <c r="CM20" s="1049"/>
      <c r="CN20" s="1066" t="s">
        <v>158</v>
      </c>
      <c r="CO20" s="1009"/>
      <c r="CP20" s="1009"/>
      <c r="CQ20" s="1049" t="str">
        <f>IF(AND('Project Information'!$J$9="X",'Work Scope'!D43=Measures!$I$3),'Work Scope'!X44,"")</f>
        <v/>
      </c>
      <c r="CR20" s="1049"/>
      <c r="CS20" s="1049"/>
      <c r="CT20" s="1049"/>
      <c r="CU20" s="1066" t="s">
        <v>149</v>
      </c>
      <c r="CV20" s="1009"/>
      <c r="CW20" s="1009"/>
      <c r="CX20" s="1019" t="str">
        <f>IF(AND('Project Information'!$J$9="X",'Work Scope'!D43=Measures!$I$3),'Work Scope'!AI44,"")</f>
        <v/>
      </c>
      <c r="CY20" s="1019"/>
      <c r="CZ20" s="1019"/>
      <c r="DA20" s="1066" t="s">
        <v>159</v>
      </c>
      <c r="DB20" s="1009"/>
      <c r="DC20" s="1075" t="str">
        <f>IF(AND('Project Information'!$J$9="X",'Work Scope'!D43=Measures!$I$3),'Work Scope'!AD44,"")</f>
        <v/>
      </c>
      <c r="DD20" s="1075"/>
      <c r="DE20" s="1075"/>
    </row>
    <row r="21" spans="1:136" s="2" customFormat="1" ht="18" customHeight="1">
      <c r="A21" s="250" t="s">
        <v>207</v>
      </c>
      <c r="B21" s="221"/>
      <c r="C21" s="221"/>
      <c r="D21" s="221"/>
      <c r="E21" s="221"/>
      <c r="F21" s="221"/>
      <c r="G21" s="221"/>
      <c r="H21" s="221"/>
      <c r="I21" s="221"/>
      <c r="J21" s="221"/>
      <c r="K21" s="221"/>
      <c r="L21" s="221"/>
      <c r="M21" s="221"/>
      <c r="N21" s="221"/>
      <c r="O21" s="221"/>
      <c r="P21" s="221"/>
      <c r="Q21" s="221"/>
      <c r="R21" s="221"/>
      <c r="S21" s="221"/>
      <c r="T21" s="221"/>
      <c r="U21" s="221"/>
      <c r="V21" s="221"/>
      <c r="W21" s="221"/>
      <c r="X21" s="221"/>
      <c r="Y21" s="221"/>
      <c r="Z21" s="221"/>
      <c r="AA21" s="221"/>
      <c r="AB21" s="221"/>
      <c r="AC21" s="221"/>
      <c r="AD21" s="221"/>
      <c r="AE21" s="221"/>
      <c r="AF21" s="221"/>
      <c r="AG21" s="221"/>
      <c r="AH21" s="1002" t="str">
        <f>'Work Scope'!D45</f>
        <v>Heating System 2</v>
      </c>
      <c r="AI21" s="1002"/>
      <c r="AJ21" s="1002"/>
      <c r="AK21" s="1002"/>
      <c r="AL21" s="1002"/>
      <c r="AM21" s="1002"/>
      <c r="AN21" s="1002"/>
      <c r="AO21" s="1002"/>
      <c r="AP21" s="1002"/>
      <c r="AQ21" s="1002"/>
      <c r="AR21" s="1002"/>
      <c r="AS21" s="1002"/>
      <c r="AT21" s="1002"/>
      <c r="AU21" s="1002"/>
      <c r="AV21" s="1002"/>
      <c r="AW21" s="1035">
        <f>'Work Scope'!T45</f>
        <v>0</v>
      </c>
      <c r="AX21" s="1025"/>
      <c r="AY21" s="1025"/>
      <c r="AZ21" s="1024">
        <f>'Work Scope'!B45</f>
        <v>0</v>
      </c>
      <c r="BA21" s="1025"/>
      <c r="BB21" s="1043">
        <f>IF(AND('Work Scope'!D45=Measures!I3,'Work Scope'!AO46="X"),'Work Scope'!X45-250,'Work Scope'!X45)</f>
        <v>0</v>
      </c>
      <c r="BC21" s="1044"/>
      <c r="BD21" s="1044"/>
      <c r="BE21" s="1044"/>
      <c r="BF21" s="1043" t="str">
        <f>IF(AND('Work Scope'!D45=Measures!I3,'Work Scope'!AO46="X"),'Work Scope'!AD45-250,'Work Scope'!AD45)</f>
        <v/>
      </c>
      <c r="BG21" s="1044"/>
      <c r="BH21" s="1044"/>
      <c r="BI21" s="1044"/>
      <c r="BJ21" s="399"/>
      <c r="BK21" s="398"/>
      <c r="BL21" s="398"/>
      <c r="BM21" s="403"/>
      <c r="BN21" s="1052" t="s">
        <v>71</v>
      </c>
      <c r="BO21" s="1032"/>
      <c r="BP21" s="1032"/>
      <c r="BQ21" s="1067"/>
      <c r="BR21" s="1055" t="s">
        <v>500</v>
      </c>
      <c r="BS21" s="1055"/>
      <c r="BT21" s="1055"/>
      <c r="BU21" s="1055"/>
      <c r="BV21" s="979">
        <f>'Work Scope'!H46</f>
        <v>0</v>
      </c>
      <c r="BW21" s="979"/>
      <c r="BX21" s="979"/>
      <c r="BY21" s="979"/>
      <c r="BZ21" s="979"/>
      <c r="CA21" s="979"/>
      <c r="CB21" s="979"/>
      <c r="CC21" s="1068" t="s">
        <v>148</v>
      </c>
      <c r="CD21" s="1069"/>
      <c r="CE21" s="1069"/>
      <c r="CF21" s="979">
        <f>'Work Scope'!P46</f>
        <v>0</v>
      </c>
      <c r="CG21" s="979"/>
      <c r="CH21" s="979"/>
      <c r="CI21" s="979"/>
      <c r="CJ21" s="979"/>
      <c r="CK21" s="979"/>
      <c r="CL21" s="979"/>
      <c r="CM21" s="979"/>
      <c r="CN21" s="1068" t="s">
        <v>158</v>
      </c>
      <c r="CO21" s="1069"/>
      <c r="CP21" s="1069"/>
      <c r="CQ21" s="1080">
        <f>'Work Scope'!X46</f>
        <v>0</v>
      </c>
      <c r="CR21" s="979"/>
      <c r="CS21" s="979"/>
      <c r="CT21" s="979"/>
      <c r="CU21" s="1068" t="s">
        <v>149</v>
      </c>
      <c r="CV21" s="1069"/>
      <c r="CW21" s="1069"/>
      <c r="CX21" s="1078">
        <f>'Work Scope'!AI46</f>
        <v>0</v>
      </c>
      <c r="CY21" s="1079"/>
      <c r="CZ21" s="1079"/>
      <c r="DA21" s="1068" t="s">
        <v>159</v>
      </c>
      <c r="DB21" s="1069"/>
      <c r="DC21" s="1077">
        <f>'Work Scope'!AD46</f>
        <v>0</v>
      </c>
      <c r="DD21" s="979"/>
      <c r="DE21" s="979"/>
    </row>
    <row r="22" spans="1:136" s="2" customFormat="1" ht="18" customHeight="1">
      <c r="A22" s="1003" t="s">
        <v>208</v>
      </c>
      <c r="B22" s="1003"/>
      <c r="C22" s="1003"/>
      <c r="D22" s="1003"/>
      <c r="E22" s="1003"/>
      <c r="F22" s="1003"/>
      <c r="G22" s="1004"/>
      <c r="H22" s="1013">
        <f>'Project Information'!AN9</f>
        <v>0</v>
      </c>
      <c r="I22" s="1014"/>
      <c r="J22" s="1014"/>
      <c r="K22" s="1014"/>
      <c r="L22" s="1014"/>
      <c r="M22" s="1014"/>
      <c r="N22" s="1014"/>
      <c r="O22" s="1014"/>
      <c r="P22" s="1014"/>
      <c r="Q22" s="1014"/>
      <c r="R22" s="221"/>
      <c r="S22" s="221"/>
      <c r="T22" s="221"/>
      <c r="U22" s="221"/>
      <c r="V22" s="221"/>
      <c r="W22" s="221"/>
      <c r="X22" s="221"/>
      <c r="Y22" s="221"/>
      <c r="Z22" s="221"/>
      <c r="AA22" s="221"/>
      <c r="AB22" s="221"/>
      <c r="AC22" s="221"/>
      <c r="AD22" s="221"/>
      <c r="AE22" s="221"/>
      <c r="AF22" s="221"/>
      <c r="AG22" s="221"/>
      <c r="AH22" s="1017" t="s">
        <v>520</v>
      </c>
      <c r="AI22" s="1017"/>
      <c r="AJ22" s="1017"/>
      <c r="AK22" s="1017"/>
      <c r="AL22" s="1017"/>
      <c r="AM22" s="1017"/>
      <c r="AN22" s="1017"/>
      <c r="AO22" s="1017"/>
      <c r="AP22" s="1017"/>
      <c r="AQ22" s="1017"/>
      <c r="AR22" s="1017"/>
      <c r="AS22" s="1017"/>
      <c r="AT22" s="1017"/>
      <c r="AU22" s="1017"/>
      <c r="AV22" s="1017"/>
      <c r="AW22" s="1027" t="str">
        <f>IF(AND('Project Information'!$J$9="X",'Work Scope'!D45=Measures!$I$3),'Work Scope'!T45,"")</f>
        <v/>
      </c>
      <c r="AX22" s="1028"/>
      <c r="AY22" s="1028"/>
      <c r="AZ22" s="1027" t="str">
        <f>IF(AND('Project Information'!$J$9="X",'Work Scope'!D45=Measures!$I$3),'Work Scope'!B45,"")</f>
        <v/>
      </c>
      <c r="BA22" s="1028"/>
      <c r="BB22" s="1041">
        <f>IF(AND('Project Information'!$J$9="X",'Work Scope'!D45=Measures!$I$3,'Work Scope'!AO46="X"),250,0)</f>
        <v>0</v>
      </c>
      <c r="BC22" s="1042"/>
      <c r="BD22" s="1042"/>
      <c r="BE22" s="1042"/>
      <c r="BF22" s="1041">
        <f>IF(AND('Project Information'!$J$9="X",'Work Scope'!D45=Measures!$I$3,'Work Scope'!AO46="X"),250,0)</f>
        <v>0</v>
      </c>
      <c r="BG22" s="1042"/>
      <c r="BH22" s="1042"/>
      <c r="BI22" s="1042"/>
      <c r="BJ22" s="257"/>
      <c r="BK22" s="406"/>
      <c r="BL22" s="406"/>
      <c r="BM22" s="407"/>
      <c r="BN22" s="1000" t="str">
        <f>IF(AND('Project Information'!$J$9="X",'Work Scope'!D45=Measures!$I$3),250,"")</f>
        <v/>
      </c>
      <c r="BO22" s="1001"/>
      <c r="BP22" s="1001"/>
      <c r="BQ22" s="1037"/>
      <c r="BR22" s="1057" t="s">
        <v>500</v>
      </c>
      <c r="BS22" s="1057"/>
      <c r="BT22" s="1057"/>
      <c r="BU22" s="1057"/>
      <c r="BV22" s="1049" t="str">
        <f>IF(AND('Project Information'!$J$9="X",'Work Scope'!D45=Measures!$I$3),'Work Scope'!H46,"")</f>
        <v/>
      </c>
      <c r="BW22" s="1049"/>
      <c r="BX22" s="1049"/>
      <c r="BY22" s="1049"/>
      <c r="BZ22" s="1049"/>
      <c r="CA22" s="1049"/>
      <c r="CB22" s="1049"/>
      <c r="CC22" s="1066" t="s">
        <v>148</v>
      </c>
      <c r="CD22" s="1009"/>
      <c r="CE22" s="1009"/>
      <c r="CF22" s="1049" t="str">
        <f>IF(AND('Project Information'!$J$9="X",'Work Scope'!D45=Measures!$I$3),'Work Scope'!P46,"")</f>
        <v/>
      </c>
      <c r="CG22" s="1049"/>
      <c r="CH22" s="1049"/>
      <c r="CI22" s="1049"/>
      <c r="CJ22" s="1049"/>
      <c r="CK22" s="1049"/>
      <c r="CL22" s="1049"/>
      <c r="CM22" s="1049"/>
      <c r="CN22" s="1066" t="s">
        <v>158</v>
      </c>
      <c r="CO22" s="1009"/>
      <c r="CP22" s="1009"/>
      <c r="CQ22" s="1049" t="str">
        <f>IF(AND('Project Information'!$J$9="X",'Work Scope'!D45=Measures!$I$3),'Work Scope'!X46,"")</f>
        <v/>
      </c>
      <c r="CR22" s="1049"/>
      <c r="CS22" s="1049"/>
      <c r="CT22" s="1049"/>
      <c r="CU22" s="1066" t="s">
        <v>149</v>
      </c>
      <c r="CV22" s="1009"/>
      <c r="CW22" s="1009"/>
      <c r="CX22" s="1019" t="str">
        <f>IF(AND('Project Information'!$J$9="X",'Work Scope'!D45=Measures!$I$3),'Work Scope'!AI46,"")</f>
        <v/>
      </c>
      <c r="CY22" s="1019"/>
      <c r="CZ22" s="1019"/>
      <c r="DA22" s="1066" t="s">
        <v>159</v>
      </c>
      <c r="DB22" s="1009"/>
      <c r="DC22" s="1075" t="str">
        <f>IF(AND('Project Information'!$J$9="X",'Work Scope'!D45=Measures!$I$3),'Work Scope'!AD46,"")</f>
        <v/>
      </c>
      <c r="DD22" s="1075"/>
      <c r="DE22" s="1075"/>
    </row>
    <row r="23" spans="1:136" s="2" customFormat="1" ht="18" customHeight="1">
      <c r="A23" s="1009" t="s">
        <v>209</v>
      </c>
      <c r="B23" s="1009"/>
      <c r="C23" s="1009"/>
      <c r="D23" s="1009"/>
      <c r="E23" s="1009"/>
      <c r="F23" s="1009"/>
      <c r="G23" s="1010"/>
      <c r="H23" s="1011">
        <f>'Project Information'!AI9</f>
        <v>0</v>
      </c>
      <c r="I23" s="1005"/>
      <c r="J23" s="1005"/>
      <c r="K23" s="1005"/>
      <c r="L23" s="1005"/>
      <c r="M23" s="1005"/>
      <c r="N23" s="1005"/>
      <c r="O23" s="1005"/>
      <c r="P23" s="1005"/>
      <c r="Q23" s="1005"/>
      <c r="R23" s="221"/>
      <c r="S23" s="221"/>
      <c r="T23" s="221"/>
      <c r="U23" s="221"/>
      <c r="V23" s="221"/>
      <c r="W23" s="221"/>
      <c r="X23" s="221"/>
      <c r="Y23" s="221"/>
      <c r="Z23" s="221"/>
      <c r="AA23" s="221"/>
      <c r="AB23" s="221"/>
      <c r="AC23" s="221"/>
      <c r="AD23" s="221"/>
      <c r="AE23" s="221"/>
      <c r="AF23" s="221"/>
      <c r="AG23" s="221"/>
      <c r="AH23" s="1002" t="str">
        <f>'Work Scope'!D47</f>
        <v>Cooling System 1</v>
      </c>
      <c r="AI23" s="1002"/>
      <c r="AJ23" s="1002"/>
      <c r="AK23" s="1002"/>
      <c r="AL23" s="1002"/>
      <c r="AM23" s="1002"/>
      <c r="AN23" s="1002"/>
      <c r="AO23" s="1002"/>
      <c r="AP23" s="1002"/>
      <c r="AQ23" s="1002"/>
      <c r="AR23" s="1002"/>
      <c r="AS23" s="1002"/>
      <c r="AT23" s="1002"/>
      <c r="AU23" s="1002"/>
      <c r="AV23" s="1002"/>
      <c r="AW23" s="1035">
        <f>'Work Scope'!T47</f>
        <v>0</v>
      </c>
      <c r="AX23" s="1025"/>
      <c r="AY23" s="1025"/>
      <c r="AZ23" s="1024">
        <f>'Work Scope'!B47</f>
        <v>0</v>
      </c>
      <c r="BA23" s="1025"/>
      <c r="BB23" s="1043">
        <f>'Work Scope'!X47</f>
        <v>0</v>
      </c>
      <c r="BC23" s="1044"/>
      <c r="BD23" s="1044"/>
      <c r="BE23" s="1044"/>
      <c r="BF23" s="1043" t="str">
        <f>'Work Scope'!AD47</f>
        <v/>
      </c>
      <c r="BG23" s="1044"/>
      <c r="BH23" s="1044"/>
      <c r="BI23" s="1044"/>
      <c r="BJ23" s="399"/>
      <c r="BK23" s="398"/>
      <c r="BL23" s="398"/>
      <c r="BM23" s="403"/>
      <c r="BN23" s="1052" t="s">
        <v>71</v>
      </c>
      <c r="BO23" s="1032"/>
      <c r="BP23" s="1032"/>
      <c r="BQ23" s="1067"/>
      <c r="BR23" s="1055" t="s">
        <v>500</v>
      </c>
      <c r="BS23" s="1055"/>
      <c r="BT23" s="1055"/>
      <c r="BU23" s="1055"/>
      <c r="BV23" s="979" t="str">
        <f>IF(AW23=1,'Work Scope'!H48,"")</f>
        <v/>
      </c>
      <c r="BW23" s="979"/>
      <c r="BX23" s="979"/>
      <c r="BY23" s="979"/>
      <c r="BZ23" s="979"/>
      <c r="CA23" s="979"/>
      <c r="CB23" s="979"/>
      <c r="CC23" s="1068" t="s">
        <v>148</v>
      </c>
      <c r="CD23" s="1069"/>
      <c r="CE23" s="1069"/>
      <c r="CF23" s="979" t="str">
        <f>IF(AW23=1,'Work Scope'!P48,"")</f>
        <v/>
      </c>
      <c r="CG23" s="979"/>
      <c r="CH23" s="979"/>
      <c r="CI23" s="979"/>
      <c r="CJ23" s="979"/>
      <c r="CK23" s="979"/>
      <c r="CL23" s="979"/>
      <c r="CM23" s="979"/>
      <c r="CN23" s="1068" t="s">
        <v>158</v>
      </c>
      <c r="CO23" s="1069"/>
      <c r="CP23" s="1069"/>
      <c r="CQ23" s="979" t="str">
        <f>IF(AW23=1,'Work Scope'!X48,"")</f>
        <v/>
      </c>
      <c r="CR23" s="979"/>
      <c r="CS23" s="979"/>
      <c r="CT23" s="979"/>
      <c r="CU23" s="1068" t="s">
        <v>512</v>
      </c>
      <c r="CV23" s="1069"/>
      <c r="CW23" s="1069"/>
      <c r="CX23" s="1069"/>
      <c r="CY23" s="1069"/>
      <c r="CZ23" s="1069"/>
      <c r="DA23" s="1070" t="str">
        <f>IF(AW23=1,'Work Scope'!J49,"")</f>
        <v/>
      </c>
      <c r="DB23" s="1070"/>
      <c r="DC23" s="1070"/>
      <c r="DD23" s="1071" t="s">
        <v>513</v>
      </c>
      <c r="DE23" s="1072"/>
      <c r="DF23" s="1072"/>
      <c r="DG23" s="1072"/>
      <c r="DH23" s="1072"/>
      <c r="DI23" s="1072"/>
      <c r="DJ23" s="1070" t="str">
        <f>IF(AND(AW23=1,'Work Scope'!D47=Measures!I15),'Work Scope'!X49,"")</f>
        <v/>
      </c>
      <c r="DK23" s="1070"/>
      <c r="DL23" s="1070"/>
      <c r="DM23" s="1068" t="s">
        <v>514</v>
      </c>
      <c r="DN23" s="1069"/>
      <c r="DO23" s="1077" t="str">
        <f>IF(AND(AW23=1,'Work Scope'!D47=Measures!I15),'Work Scope'!AN48,"")</f>
        <v/>
      </c>
      <c r="DP23" s="1077"/>
      <c r="DQ23" s="1068" t="s">
        <v>206</v>
      </c>
      <c r="DR23" s="1069"/>
      <c r="DS23" s="1084" t="str">
        <f>IF(AW23=1,'Work Scope'!AD48,"")</f>
        <v/>
      </c>
      <c r="DT23" s="1084"/>
      <c r="DU23" s="1068" t="s">
        <v>515</v>
      </c>
      <c r="DV23" s="1069"/>
      <c r="DW23" s="1084" t="str">
        <f>IF(AW23=1,'Work Scope'!AI48,"")</f>
        <v/>
      </c>
      <c r="DX23" s="1084"/>
      <c r="DY23" s="1068" t="s">
        <v>516</v>
      </c>
      <c r="DZ23" s="1069"/>
      <c r="EA23" s="1069"/>
      <c r="EB23" s="1069"/>
      <c r="EC23" s="1069"/>
      <c r="ED23" s="1070" t="str">
        <f>IF(AND(AW23=1,'Work Scope'!D47=Measures!I15),'Work Scope'!AL49,"")</f>
        <v/>
      </c>
      <c r="EE23" s="1070"/>
      <c r="EF23" s="1070"/>
    </row>
    <row r="24" spans="1:136" s="2" customFormat="1" ht="18" customHeight="1">
      <c r="A24" s="1003" t="s">
        <v>210</v>
      </c>
      <c r="B24" s="1003"/>
      <c r="C24" s="1003"/>
      <c r="D24" s="1003"/>
      <c r="E24" s="1003"/>
      <c r="F24" s="1003"/>
      <c r="G24" s="1004"/>
      <c r="H24" s="1012">
        <f>'Project Information'!R9</f>
        <v>0</v>
      </c>
      <c r="I24" s="1007"/>
      <c r="J24" s="1007"/>
      <c r="K24" s="1007"/>
      <c r="L24" s="1007"/>
      <c r="M24" s="1007"/>
      <c r="N24" s="1007"/>
      <c r="O24" s="1007"/>
      <c r="P24" s="1007"/>
      <c r="Q24" s="1007"/>
      <c r="R24" s="238"/>
      <c r="S24" s="238"/>
      <c r="T24" s="221"/>
      <c r="U24" s="221"/>
      <c r="V24" s="221"/>
      <c r="W24" s="221"/>
      <c r="X24" s="221"/>
      <c r="Y24" s="221"/>
      <c r="Z24" s="221"/>
      <c r="AA24" s="221"/>
      <c r="AB24" s="221"/>
      <c r="AC24" s="221"/>
      <c r="AD24" s="221"/>
      <c r="AE24" s="221"/>
      <c r="AF24" s="221"/>
      <c r="AG24" s="221"/>
      <c r="AH24" s="1017" t="str">
        <f>'Work Scope'!D50</f>
        <v>Cooling System 2</v>
      </c>
      <c r="AI24" s="1017"/>
      <c r="AJ24" s="1017"/>
      <c r="AK24" s="1017"/>
      <c r="AL24" s="1017"/>
      <c r="AM24" s="1017"/>
      <c r="AN24" s="1017"/>
      <c r="AO24" s="1017"/>
      <c r="AP24" s="1017"/>
      <c r="AQ24" s="1017"/>
      <c r="AR24" s="1017"/>
      <c r="AS24" s="1017"/>
      <c r="AT24" s="1017"/>
      <c r="AU24" s="1017"/>
      <c r="AV24" s="1017"/>
      <c r="AW24" s="1033">
        <f>'Work Scope'!T50</f>
        <v>0</v>
      </c>
      <c r="AX24" s="1028"/>
      <c r="AY24" s="1028"/>
      <c r="AZ24" s="1027">
        <f>'Work Scope'!B50</f>
        <v>0</v>
      </c>
      <c r="BA24" s="1028"/>
      <c r="BB24" s="1041">
        <f>'Work Scope'!X50</f>
        <v>0</v>
      </c>
      <c r="BC24" s="1042"/>
      <c r="BD24" s="1042"/>
      <c r="BE24" s="1042"/>
      <c r="BF24" s="1041" t="str">
        <f>'Work Scope'!AD50</f>
        <v/>
      </c>
      <c r="BG24" s="1042"/>
      <c r="BH24" s="1042"/>
      <c r="BI24" s="1042"/>
      <c r="BJ24" s="400"/>
      <c r="BK24" s="401"/>
      <c r="BL24" s="401"/>
      <c r="BM24" s="402"/>
      <c r="BN24" s="1053" t="s">
        <v>71</v>
      </c>
      <c r="BO24" s="1054"/>
      <c r="BP24" s="1054"/>
      <c r="BQ24" s="1076"/>
      <c r="BR24" s="1057" t="s">
        <v>500</v>
      </c>
      <c r="BS24" s="1057"/>
      <c r="BT24" s="1057"/>
      <c r="BU24" s="1057"/>
      <c r="BV24" s="1049" t="str">
        <f>IF(AW24=1,'Work Scope'!H51,"")</f>
        <v/>
      </c>
      <c r="BW24" s="1049"/>
      <c r="BX24" s="1049"/>
      <c r="BY24" s="1049"/>
      <c r="BZ24" s="1049"/>
      <c r="CA24" s="1049"/>
      <c r="CB24" s="1049"/>
      <c r="CC24" s="1066" t="s">
        <v>148</v>
      </c>
      <c r="CD24" s="1009"/>
      <c r="CE24" s="1009"/>
      <c r="CF24" s="1049" t="str">
        <f>IF(AW24=1,'Work Scope'!P51,"")</f>
        <v/>
      </c>
      <c r="CG24" s="1049"/>
      <c r="CH24" s="1049"/>
      <c r="CI24" s="1049"/>
      <c r="CJ24" s="1049"/>
      <c r="CK24" s="1049"/>
      <c r="CL24" s="1049"/>
      <c r="CM24" s="1049"/>
      <c r="CN24" s="1066" t="s">
        <v>158</v>
      </c>
      <c r="CO24" s="1009"/>
      <c r="CP24" s="1009"/>
      <c r="CQ24" s="1081" t="str">
        <f>IF(AW24=1,'Work Scope'!X51,"")</f>
        <v/>
      </c>
      <c r="CR24" s="1049"/>
      <c r="CS24" s="1049"/>
      <c r="CT24" s="1049"/>
      <c r="CU24" s="1066" t="s">
        <v>512</v>
      </c>
      <c r="CV24" s="1009"/>
      <c r="CW24" s="1009"/>
      <c r="CX24" s="1009"/>
      <c r="CY24" s="1009"/>
      <c r="CZ24" s="1009"/>
      <c r="DA24" s="1073" t="str">
        <f>IF(AW24=1,'Work Scope'!J52,"")</f>
        <v/>
      </c>
      <c r="DB24" s="1073"/>
      <c r="DC24" s="1073"/>
      <c r="DD24" s="1082" t="s">
        <v>513</v>
      </c>
      <c r="DE24" s="1083"/>
      <c r="DF24" s="1083"/>
      <c r="DG24" s="1083"/>
      <c r="DH24" s="1083"/>
      <c r="DI24" s="1083"/>
      <c r="DJ24" s="1073" t="str">
        <f>IF(AND(AW23=1,'Work Scope'!D50=Measures!I15),'Work Scope'!X52,"")</f>
        <v/>
      </c>
      <c r="DK24" s="1073"/>
      <c r="DL24" s="1073"/>
      <c r="DM24" s="1066" t="s">
        <v>514</v>
      </c>
      <c r="DN24" s="1009"/>
      <c r="DO24" s="1075" t="str">
        <f>IF(AND(AW23=1,'Work Scope'!D50=Measures!I15),'Work Scope'!AN51,"")</f>
        <v/>
      </c>
      <c r="DP24" s="1075"/>
      <c r="DQ24" s="1066" t="s">
        <v>206</v>
      </c>
      <c r="DR24" s="1009"/>
      <c r="DS24" s="1085" t="str">
        <f>IF(AW24=1,'Work Scope'!AD51,"")</f>
        <v/>
      </c>
      <c r="DT24" s="1085"/>
      <c r="DU24" s="1066" t="s">
        <v>515</v>
      </c>
      <c r="DV24" s="1009"/>
      <c r="DW24" s="1085" t="str">
        <f>IF(AW24=1,'Work Scope'!AI51,"")</f>
        <v/>
      </c>
      <c r="DX24" s="1085"/>
      <c r="DY24" s="1066" t="s">
        <v>516</v>
      </c>
      <c r="DZ24" s="1009"/>
      <c r="EA24" s="1009"/>
      <c r="EB24" s="1009"/>
      <c r="EC24" s="1009"/>
      <c r="ED24" s="1073" t="str">
        <f>IF(AND(AW23=1,'Work Scope'!D50=Measures!I15),'Work Scope'!AL52,"")</f>
        <v/>
      </c>
      <c r="EE24" s="1073"/>
      <c r="EF24" s="1073"/>
    </row>
    <row r="25" spans="1:136" s="2" customFormat="1" ht="18" customHeight="1">
      <c r="A25" s="1009" t="s">
        <v>126</v>
      </c>
      <c r="B25" s="1009"/>
      <c r="C25" s="1009"/>
      <c r="D25" s="1009"/>
      <c r="E25" s="1009"/>
      <c r="F25" s="1009"/>
      <c r="G25" s="1010"/>
      <c r="H25" s="1018">
        <f>'Project Information'!AD9</f>
        <v>0</v>
      </c>
      <c r="I25" s="1019"/>
      <c r="J25" s="1019"/>
      <c r="K25" s="1019"/>
      <c r="L25" s="1019"/>
      <c r="M25" s="1019"/>
      <c r="N25" s="1019"/>
      <c r="O25" s="1019"/>
      <c r="P25" s="1019"/>
      <c r="Q25" s="1019"/>
      <c r="R25" s="221"/>
      <c r="S25" s="221"/>
      <c r="T25" s="221"/>
      <c r="U25" s="221"/>
      <c r="V25" s="221"/>
      <c r="W25" s="221"/>
      <c r="X25" s="221"/>
      <c r="Y25" s="221"/>
      <c r="Z25" s="221"/>
      <c r="AA25" s="221"/>
      <c r="AB25" s="221"/>
      <c r="AC25" s="221"/>
      <c r="AD25" s="221"/>
      <c r="AE25" s="221"/>
      <c r="AF25" s="221"/>
      <c r="AG25" s="221"/>
      <c r="AH25" s="221"/>
      <c r="AI25" s="221"/>
      <c r="AJ25" s="221"/>
      <c r="AK25" s="221"/>
      <c r="AL25" s="221"/>
      <c r="AM25" s="221"/>
      <c r="AN25" s="221"/>
      <c r="AO25" s="221"/>
      <c r="AP25" s="221"/>
      <c r="AQ25" s="221"/>
      <c r="AR25" s="221"/>
      <c r="AS25" s="221"/>
      <c r="AT25" s="221"/>
      <c r="AU25" s="221"/>
      <c r="AV25" s="221"/>
      <c r="AW25" s="255"/>
      <c r="AX25" s="221"/>
      <c r="AY25" s="221"/>
      <c r="AZ25" s="221"/>
      <c r="BA25" s="221"/>
      <c r="BB25" s="221"/>
      <c r="BC25" s="221"/>
      <c r="BD25" s="221"/>
      <c r="BE25" s="221"/>
      <c r="BF25" s="221"/>
      <c r="BG25" s="221"/>
      <c r="BH25" s="221"/>
      <c r="BI25" s="221"/>
      <c r="BJ25" s="221"/>
      <c r="BK25" s="221"/>
      <c r="BL25" s="221"/>
      <c r="BM25" s="221"/>
      <c r="BN25" s="221"/>
      <c r="BO25" s="221"/>
      <c r="BP25" s="221"/>
      <c r="BQ25" s="221"/>
      <c r="BR25" s="221"/>
      <c r="BS25" s="221"/>
      <c r="BT25" s="221"/>
      <c r="BU25" s="221"/>
      <c r="BV25" s="221"/>
      <c r="BW25" s="221"/>
      <c r="BX25" s="221"/>
      <c r="BY25" s="221"/>
      <c r="BZ25" s="221"/>
      <c r="CA25" s="221"/>
      <c r="CB25" s="221"/>
      <c r="CC25" s="221"/>
      <c r="CD25" s="221"/>
      <c r="CE25" s="221"/>
      <c r="CF25" s="221"/>
      <c r="CG25" s="221"/>
      <c r="CH25" s="221"/>
      <c r="CI25" s="221"/>
      <c r="CJ25" s="221"/>
      <c r="CK25" s="221"/>
      <c r="CL25" s="221"/>
      <c r="CM25" s="221"/>
      <c r="CN25" s="221"/>
      <c r="CO25" s="221"/>
      <c r="CP25" s="221"/>
      <c r="CQ25" s="221"/>
      <c r="CR25" s="221"/>
      <c r="CS25" s="221"/>
      <c r="CT25" s="221"/>
      <c r="CU25" s="221"/>
      <c r="CV25" s="221"/>
      <c r="CW25" s="221"/>
      <c r="CX25" s="221"/>
      <c r="CY25" s="221"/>
      <c r="CZ25" s="221"/>
      <c r="DA25" s="221"/>
      <c r="DB25" s="221"/>
      <c r="DC25" s="221"/>
      <c r="DD25" s="221"/>
      <c r="DE25" s="221"/>
      <c r="DF25" s="221"/>
      <c r="DG25" s="221"/>
      <c r="DH25" s="221"/>
      <c r="DI25" s="221"/>
      <c r="DJ25" s="221"/>
      <c r="DK25" s="221"/>
      <c r="DL25" s="221"/>
      <c r="DM25" s="221"/>
      <c r="DN25" s="221"/>
      <c r="DO25" s="221"/>
      <c r="DP25" s="221"/>
      <c r="DQ25" s="221"/>
      <c r="DR25" s="221"/>
      <c r="DS25" s="221"/>
      <c r="DT25" s="221"/>
      <c r="DU25" s="221"/>
      <c r="DV25" s="221"/>
      <c r="DW25" s="221"/>
      <c r="DX25" s="221"/>
      <c r="DY25" s="221"/>
      <c r="DZ25" s="221"/>
      <c r="EA25" s="221"/>
      <c r="EB25" s="221"/>
      <c r="EC25" s="221"/>
      <c r="ED25" s="221"/>
      <c r="EE25" s="221"/>
      <c r="EF25" s="221"/>
    </row>
    <row r="26" spans="1:136" s="2" customFormat="1" ht="18" customHeight="1">
      <c r="A26" s="1003" t="s">
        <v>505</v>
      </c>
      <c r="B26" s="1003"/>
      <c r="C26" s="1003"/>
      <c r="D26" s="1003"/>
      <c r="E26" s="1003"/>
      <c r="F26" s="1003"/>
      <c r="G26" s="1004"/>
      <c r="H26" s="1012">
        <f>'Project Information'!N36</f>
        <v>0</v>
      </c>
      <c r="I26" s="1007"/>
      <c r="J26" s="1007"/>
      <c r="K26" s="1007"/>
      <c r="L26" s="1007"/>
      <c r="M26" s="1007"/>
      <c r="N26" s="1007"/>
      <c r="O26" s="1007"/>
      <c r="P26" s="1007"/>
      <c r="Q26" s="1007"/>
      <c r="R26" s="221"/>
      <c r="S26" s="221"/>
      <c r="T26" s="221"/>
      <c r="U26" s="221"/>
      <c r="V26" s="221"/>
      <c r="W26" s="221"/>
      <c r="X26" s="221"/>
      <c r="Y26" s="221"/>
      <c r="Z26" s="221"/>
      <c r="AA26" s="221"/>
      <c r="AB26" s="221"/>
      <c r="AC26" s="221"/>
      <c r="AD26" s="221"/>
      <c r="AE26" s="221"/>
      <c r="AF26" s="221"/>
      <c r="AG26" s="221"/>
      <c r="AH26" s="250" t="s">
        <v>226</v>
      </c>
      <c r="AI26" s="221"/>
      <c r="AJ26" s="221"/>
      <c r="AK26" s="221"/>
      <c r="AL26" s="221"/>
      <c r="AM26" s="221"/>
      <c r="AN26" s="221"/>
      <c r="AO26" s="221"/>
      <c r="AP26" s="221"/>
      <c r="AQ26" s="221"/>
      <c r="AR26" s="221"/>
      <c r="AS26" s="221"/>
      <c r="AT26" s="221"/>
      <c r="AU26" s="221"/>
      <c r="AV26" s="221"/>
      <c r="AW26" s="255"/>
      <c r="AX26" s="221"/>
      <c r="AY26" s="221"/>
      <c r="AZ26" s="221"/>
      <c r="BA26" s="221"/>
      <c r="BB26" s="221"/>
      <c r="BC26" s="221"/>
      <c r="BD26" s="221"/>
      <c r="BE26" s="221"/>
      <c r="BF26" s="221"/>
      <c r="BG26" s="221"/>
      <c r="BH26" s="221"/>
      <c r="BI26" s="221"/>
      <c r="BJ26" s="221"/>
      <c r="BK26" s="221"/>
      <c r="BL26" s="221"/>
      <c r="BM26" s="221"/>
      <c r="BN26" s="221"/>
      <c r="BO26" s="221"/>
      <c r="BP26" s="221"/>
      <c r="BQ26" s="221"/>
      <c r="BR26" s="221"/>
      <c r="BS26" s="221"/>
      <c r="BT26" s="221"/>
      <c r="BU26" s="221"/>
      <c r="BV26" s="221"/>
      <c r="BW26" s="221"/>
      <c r="BX26" s="221"/>
      <c r="BY26" s="221"/>
      <c r="BZ26" s="221"/>
      <c r="CA26" s="221"/>
      <c r="CB26" s="221"/>
      <c r="CC26" s="221"/>
      <c r="CD26" s="221"/>
      <c r="CE26" s="221"/>
      <c r="CF26" s="221"/>
      <c r="CG26" s="221"/>
      <c r="CH26" s="221"/>
      <c r="CI26" s="221"/>
      <c r="CJ26" s="221"/>
      <c r="CK26" s="221"/>
      <c r="CL26" s="221"/>
      <c r="CM26" s="221"/>
      <c r="CN26" s="221"/>
      <c r="CO26" s="221"/>
      <c r="CP26" s="221"/>
      <c r="CQ26" s="221"/>
      <c r="CR26" s="221"/>
      <c r="CS26" s="221"/>
      <c r="CT26" s="221"/>
      <c r="CU26" s="221"/>
      <c r="CV26" s="221"/>
      <c r="CW26" s="221"/>
      <c r="CX26" s="221"/>
      <c r="CY26" s="221"/>
      <c r="CZ26" s="221"/>
      <c r="DA26" s="221"/>
      <c r="DB26" s="221"/>
      <c r="DC26" s="221"/>
      <c r="DD26" s="221"/>
      <c r="DE26" s="221"/>
      <c r="DF26" s="221"/>
      <c r="DG26" s="221"/>
      <c r="DH26" s="221"/>
      <c r="DI26" s="221"/>
      <c r="DJ26" s="221"/>
      <c r="DK26" s="221"/>
      <c r="DL26" s="221"/>
      <c r="DM26" s="221"/>
      <c r="DN26" s="221"/>
      <c r="DO26" s="221"/>
      <c r="DP26" s="221"/>
      <c r="DQ26" s="221"/>
      <c r="DR26" s="221"/>
      <c r="DS26" s="221"/>
      <c r="DT26" s="221"/>
      <c r="DU26" s="221"/>
      <c r="DV26" s="221"/>
      <c r="DW26" s="221"/>
      <c r="DX26" s="221"/>
      <c r="DY26" s="221"/>
      <c r="DZ26" s="221"/>
      <c r="EA26" s="221"/>
      <c r="EB26" s="221"/>
      <c r="EC26" s="221"/>
      <c r="ED26" s="221"/>
      <c r="EE26" s="221"/>
      <c r="EF26" s="221"/>
    </row>
    <row r="27" spans="1:136" s="2" customFormat="1" ht="18" customHeight="1">
      <c r="A27" s="1009" t="s">
        <v>211</v>
      </c>
      <c r="B27" s="1009"/>
      <c r="C27" s="1009"/>
      <c r="D27" s="1009"/>
      <c r="E27" s="1009"/>
      <c r="F27" s="1009"/>
      <c r="G27" s="1010"/>
      <c r="H27" s="1020">
        <f>'Project Information'!N39</f>
        <v>0</v>
      </c>
      <c r="I27" s="1006"/>
      <c r="J27" s="1006"/>
      <c r="K27" s="1006"/>
      <c r="L27" s="1006"/>
      <c r="M27" s="1006"/>
      <c r="N27" s="1006"/>
      <c r="O27" s="1006"/>
      <c r="P27" s="1006"/>
      <c r="Q27" s="1006"/>
      <c r="R27" s="221"/>
      <c r="S27" s="221"/>
      <c r="T27" s="221"/>
      <c r="U27" s="221"/>
      <c r="V27" s="221"/>
      <c r="W27" s="221"/>
      <c r="X27" s="221"/>
      <c r="Y27" s="221"/>
      <c r="Z27" s="221"/>
      <c r="AA27" s="221"/>
      <c r="AB27" s="221"/>
      <c r="AC27" s="221"/>
      <c r="AD27" s="221"/>
      <c r="AE27" s="221"/>
      <c r="AF27" s="221"/>
      <c r="AG27" s="221"/>
      <c r="AH27" s="979" t="s">
        <v>511</v>
      </c>
      <c r="AI27" s="979"/>
      <c r="AJ27" s="979"/>
      <c r="AK27" s="979"/>
      <c r="AL27" s="979"/>
      <c r="AM27" s="979"/>
      <c r="AN27" s="979"/>
      <c r="AO27" s="979"/>
      <c r="AP27" s="979"/>
      <c r="AQ27" s="979"/>
      <c r="AR27" s="979"/>
      <c r="AS27" s="979"/>
      <c r="AT27" s="979"/>
      <c r="AU27" s="979"/>
      <c r="AV27" s="979"/>
      <c r="AW27" s="1031" t="s">
        <v>424</v>
      </c>
      <c r="AX27" s="1031"/>
      <c r="AY27" s="1031" t="s">
        <v>215</v>
      </c>
      <c r="AZ27" s="1031"/>
      <c r="BA27" s="1031" t="s">
        <v>216</v>
      </c>
      <c r="BB27" s="1031"/>
      <c r="BC27" s="1031"/>
      <c r="BD27" s="1031"/>
      <c r="BE27" s="1031" t="s">
        <v>52</v>
      </c>
      <c r="BF27" s="1031"/>
      <c r="BG27" s="1031"/>
      <c r="BH27" s="1031"/>
      <c r="BI27" s="221"/>
      <c r="BJ27" s="221"/>
      <c r="BK27" s="221"/>
      <c r="BL27" s="221"/>
      <c r="BM27" s="221"/>
      <c r="BN27" s="221"/>
      <c r="BO27" s="221"/>
      <c r="BP27" s="221"/>
      <c r="BQ27" s="221"/>
      <c r="BR27" s="221"/>
      <c r="BS27" s="221"/>
      <c r="BT27" s="221"/>
      <c r="BU27" s="221"/>
      <c r="BV27" s="221"/>
      <c r="BW27" s="221"/>
      <c r="BX27" s="221"/>
      <c r="BY27" s="221"/>
      <c r="BZ27" s="221"/>
      <c r="CA27" s="221"/>
      <c r="CB27" s="221"/>
      <c r="CC27" s="221"/>
      <c r="CD27" s="221"/>
      <c r="CE27" s="221"/>
      <c r="CF27" s="221"/>
      <c r="CG27" s="221"/>
      <c r="CH27" s="221"/>
      <c r="CI27" s="221"/>
      <c r="CJ27" s="221"/>
      <c r="CK27" s="221"/>
      <c r="CL27" s="221"/>
      <c r="CM27" s="221"/>
      <c r="CN27" s="221"/>
      <c r="CO27" s="221"/>
      <c r="CP27" s="221"/>
      <c r="CQ27" s="221"/>
      <c r="CR27" s="221"/>
      <c r="CS27" s="221"/>
      <c r="CT27" s="221"/>
      <c r="CU27" s="221"/>
      <c r="CV27" s="221"/>
      <c r="CW27" s="221"/>
      <c r="CX27" s="221"/>
      <c r="CY27" s="221"/>
      <c r="CZ27" s="221"/>
      <c r="DA27" s="221"/>
      <c r="DB27" s="221"/>
      <c r="DC27" s="221"/>
      <c r="DD27" s="221"/>
      <c r="DE27" s="221"/>
      <c r="DF27" s="221"/>
      <c r="DG27" s="221"/>
      <c r="DH27" s="221"/>
      <c r="DI27" s="221"/>
      <c r="DJ27" s="221"/>
      <c r="DK27" s="221"/>
      <c r="DL27" s="221"/>
      <c r="DM27" s="221"/>
      <c r="DN27" s="221"/>
      <c r="DO27" s="221"/>
      <c r="DP27" s="221"/>
      <c r="DQ27" s="221"/>
      <c r="DR27" s="221"/>
      <c r="DS27" s="221"/>
      <c r="DT27" s="221"/>
      <c r="DU27" s="221"/>
      <c r="DV27" s="221"/>
      <c r="DW27" s="221"/>
      <c r="DX27" s="221"/>
      <c r="DY27" s="221"/>
      <c r="DZ27" s="221"/>
      <c r="EA27" s="221"/>
      <c r="EB27" s="221"/>
      <c r="EC27" s="221"/>
      <c r="ED27" s="221"/>
      <c r="EE27" s="221"/>
      <c r="EF27" s="221"/>
    </row>
    <row r="28" spans="1:136" s="2" customFormat="1" ht="18" customHeight="1">
      <c r="A28" s="1003" t="s">
        <v>212</v>
      </c>
      <c r="B28" s="1003"/>
      <c r="C28" s="1003"/>
      <c r="D28" s="1003"/>
      <c r="E28" s="1003"/>
      <c r="F28" s="1003"/>
      <c r="G28" s="1004"/>
      <c r="H28" s="1012">
        <f>'Project Information'!AF39</f>
        <v>0</v>
      </c>
      <c r="I28" s="1007"/>
      <c r="J28" s="1007"/>
      <c r="K28" s="1007"/>
      <c r="L28" s="1007"/>
      <c r="M28" s="1007"/>
      <c r="N28" s="1007"/>
      <c r="O28" s="1007"/>
      <c r="P28" s="1007"/>
      <c r="Q28" s="1007"/>
      <c r="R28" s="221"/>
      <c r="S28" s="221"/>
      <c r="T28" s="221"/>
      <c r="U28" s="221"/>
      <c r="V28" s="221"/>
      <c r="W28" s="221"/>
      <c r="X28" s="221"/>
      <c r="Y28" s="221"/>
      <c r="Z28" s="221"/>
      <c r="AA28" s="221"/>
      <c r="AB28" s="221"/>
      <c r="AC28" s="221"/>
      <c r="AD28" s="221"/>
      <c r="AE28" s="221"/>
      <c r="AF28" s="221"/>
      <c r="AG28" s="221"/>
      <c r="AH28" s="1017" t="str">
        <f>IF('Work Scope'!AD57="","",'Work Scope'!D57)</f>
        <v/>
      </c>
      <c r="AI28" s="1017"/>
      <c r="AJ28" s="1017"/>
      <c r="AK28" s="1017"/>
      <c r="AL28" s="1017"/>
      <c r="AM28" s="1017"/>
      <c r="AN28" s="1017"/>
      <c r="AO28" s="1017"/>
      <c r="AP28" s="1017"/>
      <c r="AQ28" s="1017"/>
      <c r="AR28" s="1017"/>
      <c r="AS28" s="1017"/>
      <c r="AT28" s="1017"/>
      <c r="AU28" s="1017"/>
      <c r="AV28" s="1017"/>
      <c r="AW28" s="1087" t="str">
        <f>IF('Work Scope'!AD57="","",'Work Scope'!AB57)</f>
        <v/>
      </c>
      <c r="AX28" s="1088"/>
      <c r="AY28" s="1089" t="str">
        <f>IF('Work Scope'!AD57="","",'Work Scope'!B57)</f>
        <v/>
      </c>
      <c r="AZ28" s="1089"/>
      <c r="BA28" s="1000" t="str">
        <f>IF('Work Scope'!AD57="","",'Work Scope'!AD57)</f>
        <v/>
      </c>
      <c r="BB28" s="1001"/>
      <c r="BC28" s="1001"/>
      <c r="BD28" s="1037"/>
      <c r="BE28" s="1090" t="str">
        <f>IF('Work Scope'!AD57="","",'Work Scope'!AH57/AW28)</f>
        <v/>
      </c>
      <c r="BF28" s="1090"/>
      <c r="BG28" s="1090"/>
      <c r="BH28" s="1090"/>
      <c r="BI28" s="221"/>
      <c r="BJ28" s="221"/>
      <c r="BK28" s="221"/>
      <c r="BL28" s="221"/>
      <c r="BM28" s="221"/>
      <c r="BN28" s="221"/>
      <c r="BO28" s="221"/>
      <c r="BP28" s="221"/>
      <c r="BQ28" s="221"/>
      <c r="BR28" s="221"/>
      <c r="BS28" s="221"/>
      <c r="BT28" s="221"/>
      <c r="BU28" s="221"/>
      <c r="BV28" s="221"/>
      <c r="BW28" s="221"/>
      <c r="BX28" s="221"/>
      <c r="BY28" s="221"/>
      <c r="BZ28" s="221"/>
      <c r="CA28" s="221"/>
      <c r="CB28" s="221"/>
      <c r="CC28" s="221"/>
      <c r="CD28" s="221"/>
      <c r="CE28" s="221"/>
      <c r="CF28" s="221"/>
      <c r="CG28" s="221"/>
      <c r="CH28" s="221"/>
      <c r="CI28" s="221"/>
      <c r="CJ28" s="221"/>
      <c r="CK28" s="221"/>
      <c r="CL28" s="221"/>
      <c r="CM28" s="221"/>
      <c r="CN28" s="221"/>
      <c r="CO28" s="221"/>
      <c r="CP28" s="221"/>
      <c r="CQ28" s="221"/>
      <c r="CR28" s="221"/>
      <c r="CS28" s="221"/>
      <c r="CT28" s="221"/>
      <c r="CU28" s="221"/>
      <c r="CV28" s="221"/>
      <c r="CW28" s="221"/>
      <c r="CX28" s="221"/>
      <c r="CY28" s="221"/>
      <c r="CZ28" s="221"/>
      <c r="DA28" s="221"/>
      <c r="DB28" s="221"/>
      <c r="DC28" s="221"/>
      <c r="DD28" s="221"/>
      <c r="DE28" s="221"/>
      <c r="DF28" s="221"/>
      <c r="DG28" s="221"/>
      <c r="DH28" s="221"/>
      <c r="DI28" s="221"/>
      <c r="DJ28" s="221"/>
      <c r="DK28" s="221"/>
      <c r="DL28" s="221"/>
      <c r="DM28" s="221"/>
      <c r="DN28" s="221"/>
      <c r="DO28" s="221"/>
      <c r="DP28" s="221"/>
      <c r="DQ28" s="221"/>
      <c r="DR28" s="221"/>
      <c r="DS28" s="221"/>
      <c r="DT28" s="221"/>
      <c r="DU28" s="221"/>
      <c r="DV28" s="221"/>
      <c r="DW28" s="221"/>
      <c r="DX28" s="221"/>
      <c r="DY28" s="221"/>
      <c r="DZ28" s="221"/>
      <c r="EA28" s="221"/>
      <c r="EB28" s="221"/>
      <c r="EC28" s="221"/>
      <c r="ED28" s="221"/>
      <c r="EE28" s="221"/>
      <c r="EF28" s="221"/>
    </row>
    <row r="29" spans="1:136" s="2" customFormat="1" ht="18" customHeight="1">
      <c r="A29" s="221"/>
      <c r="B29" s="221"/>
      <c r="C29" s="221"/>
      <c r="D29" s="221"/>
      <c r="E29" s="221"/>
      <c r="F29" s="221"/>
      <c r="G29" s="221"/>
      <c r="H29" s="221"/>
      <c r="I29" s="221"/>
      <c r="J29" s="221"/>
      <c r="K29" s="221"/>
      <c r="L29" s="221"/>
      <c r="M29" s="221"/>
      <c r="N29" s="221"/>
      <c r="O29" s="221"/>
      <c r="P29" s="221"/>
      <c r="Q29" s="221"/>
      <c r="R29" s="221"/>
      <c r="S29" s="221"/>
      <c r="T29" s="221"/>
      <c r="U29" s="221"/>
      <c r="V29" s="221"/>
      <c r="W29" s="221"/>
      <c r="X29" s="221"/>
      <c r="Y29" s="221"/>
      <c r="Z29" s="221"/>
      <c r="AA29" s="221"/>
      <c r="AB29" s="221"/>
      <c r="AC29" s="221"/>
      <c r="AD29" s="221"/>
      <c r="AE29" s="221"/>
      <c r="AF29" s="221"/>
      <c r="AG29" s="221"/>
      <c r="AH29" s="1002" t="str">
        <f>IF('Work Scope'!AD58="","",'Work Scope'!D58)</f>
        <v/>
      </c>
      <c r="AI29" s="1002"/>
      <c r="AJ29" s="1002"/>
      <c r="AK29" s="1002"/>
      <c r="AL29" s="1002"/>
      <c r="AM29" s="1002"/>
      <c r="AN29" s="1002"/>
      <c r="AO29" s="1002"/>
      <c r="AP29" s="1002"/>
      <c r="AQ29" s="1002"/>
      <c r="AR29" s="1002"/>
      <c r="AS29" s="1002"/>
      <c r="AT29" s="1002"/>
      <c r="AU29" s="1002"/>
      <c r="AV29" s="1002"/>
      <c r="AW29" s="1091" t="str">
        <f>IF('Work Scope'!AD58="","",'Work Scope'!AB58)</f>
        <v/>
      </c>
      <c r="AX29" s="1092"/>
      <c r="AY29" s="1059" t="str">
        <f>IF('Work Scope'!AD58="","",'Work Scope'!B58)</f>
        <v/>
      </c>
      <c r="AZ29" s="1059"/>
      <c r="BA29" s="1038" t="str">
        <f>IF('Work Scope'!AD58="","",'Work Scope'!AD58)</f>
        <v/>
      </c>
      <c r="BB29" s="1039"/>
      <c r="BC29" s="1039"/>
      <c r="BD29" s="1040"/>
      <c r="BE29" s="1086" t="str">
        <f>IF('Work Scope'!AD58="","",'Work Scope'!AH58/AW29)</f>
        <v/>
      </c>
      <c r="BF29" s="1086"/>
      <c r="BG29" s="1086"/>
      <c r="BH29" s="1086"/>
      <c r="BI29" s="221"/>
      <c r="BJ29" s="221"/>
      <c r="BK29" s="221"/>
      <c r="BL29" s="221"/>
      <c r="BM29" s="221"/>
      <c r="BN29" s="221"/>
      <c r="BO29" s="221"/>
      <c r="BP29" s="221"/>
      <c r="BQ29" s="221"/>
      <c r="BR29" s="221"/>
      <c r="BS29" s="221"/>
      <c r="BT29" s="221"/>
      <c r="BU29" s="221"/>
      <c r="BV29" s="221"/>
      <c r="BW29" s="221"/>
      <c r="BX29" s="221"/>
      <c r="BY29" s="221"/>
      <c r="BZ29" s="221"/>
      <c r="CA29" s="221"/>
      <c r="CB29" s="221"/>
      <c r="CC29" s="221"/>
      <c r="CD29" s="221"/>
      <c r="CE29" s="221"/>
      <c r="CF29" s="221"/>
      <c r="CG29" s="221"/>
      <c r="CH29" s="221"/>
      <c r="CI29" s="221"/>
      <c r="CJ29" s="221"/>
      <c r="CK29" s="221"/>
      <c r="CL29" s="221"/>
      <c r="CM29" s="221"/>
      <c r="CN29" s="221"/>
      <c r="CO29" s="221"/>
      <c r="CP29" s="221"/>
      <c r="CQ29" s="221"/>
      <c r="CR29" s="221"/>
      <c r="CS29" s="221"/>
      <c r="CT29" s="221"/>
      <c r="CU29" s="221"/>
      <c r="CV29" s="221"/>
      <c r="CW29" s="221"/>
      <c r="CX29" s="221"/>
      <c r="CY29" s="221"/>
      <c r="CZ29" s="221"/>
      <c r="DA29" s="221"/>
      <c r="DB29" s="221"/>
      <c r="DC29" s="221"/>
      <c r="DD29" s="221"/>
      <c r="DE29" s="221"/>
      <c r="DF29" s="221"/>
      <c r="DG29" s="221"/>
      <c r="DH29" s="221"/>
      <c r="DI29" s="221"/>
      <c r="DJ29" s="221"/>
      <c r="DK29" s="221"/>
      <c r="DL29" s="221"/>
      <c r="DM29" s="221"/>
      <c r="DN29" s="221"/>
      <c r="DO29" s="221"/>
      <c r="DP29" s="221"/>
      <c r="DQ29" s="221"/>
      <c r="DR29" s="221"/>
      <c r="DS29" s="221"/>
      <c r="DT29" s="221"/>
      <c r="DU29" s="221"/>
      <c r="DV29" s="221"/>
      <c r="DW29" s="221"/>
      <c r="DX29" s="221"/>
      <c r="DY29" s="221"/>
      <c r="DZ29" s="221"/>
      <c r="EA29" s="221"/>
      <c r="EB29" s="221"/>
      <c r="EC29" s="221"/>
      <c r="ED29" s="221"/>
      <c r="EE29" s="221"/>
      <c r="EF29" s="221"/>
    </row>
    <row r="30" spans="1:136" s="2" customFormat="1" ht="18" customHeight="1">
      <c r="A30" s="979" t="s">
        <v>506</v>
      </c>
      <c r="B30" s="979"/>
      <c r="C30" s="979"/>
      <c r="D30" s="979"/>
      <c r="E30" s="979"/>
      <c r="F30" s="979"/>
      <c r="G30" s="979"/>
      <c r="H30" s="979"/>
      <c r="I30" s="979"/>
      <c r="J30" s="979"/>
      <c r="K30" s="979"/>
      <c r="L30" s="979"/>
      <c r="M30" s="979"/>
      <c r="N30" s="979"/>
      <c r="O30" s="979"/>
      <c r="P30" s="979"/>
      <c r="Q30" s="979"/>
      <c r="R30" s="979"/>
      <c r="S30" s="979"/>
      <c r="T30" s="979"/>
      <c r="U30" s="979"/>
      <c r="V30" s="979"/>
      <c r="W30" s="979"/>
      <c r="X30" s="979"/>
      <c r="Y30" s="979"/>
      <c r="Z30" s="979"/>
      <c r="AA30" s="979"/>
      <c r="AB30" s="979"/>
      <c r="AC30" s="979"/>
      <c r="AD30" s="979"/>
      <c r="AE30" s="979"/>
      <c r="AF30" s="979"/>
      <c r="AG30" s="221"/>
      <c r="AH30" s="1017" t="str">
        <f>IF('Work Scope'!AD59="","",'Work Scope'!D59)</f>
        <v/>
      </c>
      <c r="AI30" s="1017"/>
      <c r="AJ30" s="1017"/>
      <c r="AK30" s="1017"/>
      <c r="AL30" s="1017"/>
      <c r="AM30" s="1017"/>
      <c r="AN30" s="1017"/>
      <c r="AO30" s="1017"/>
      <c r="AP30" s="1017"/>
      <c r="AQ30" s="1017"/>
      <c r="AR30" s="1017"/>
      <c r="AS30" s="1017"/>
      <c r="AT30" s="1017"/>
      <c r="AU30" s="1017"/>
      <c r="AV30" s="1017"/>
      <c r="AW30" s="1087" t="str">
        <f>IF('Work Scope'!AD59="","",'Work Scope'!AB59)</f>
        <v/>
      </c>
      <c r="AX30" s="1088"/>
      <c r="AY30" s="1089" t="str">
        <f>IF('Work Scope'!AD59="","",'Work Scope'!B59)</f>
        <v/>
      </c>
      <c r="AZ30" s="1089"/>
      <c r="BA30" s="1000" t="str">
        <f>IF('Work Scope'!AD59="","",'Work Scope'!AD59)</f>
        <v/>
      </c>
      <c r="BB30" s="1001"/>
      <c r="BC30" s="1001"/>
      <c r="BD30" s="1037"/>
      <c r="BE30" s="1090" t="str">
        <f>IF('Work Scope'!AD59="","",'Work Scope'!AH59/AW30)</f>
        <v/>
      </c>
      <c r="BF30" s="1090"/>
      <c r="BG30" s="1090"/>
      <c r="BH30" s="1090"/>
      <c r="BI30" s="221"/>
      <c r="BJ30" s="221"/>
      <c r="BK30" s="221"/>
      <c r="BL30" s="221"/>
      <c r="BM30" s="221"/>
      <c r="BN30" s="221"/>
      <c r="BO30" s="221"/>
      <c r="BP30" s="221"/>
      <c r="BQ30" s="221"/>
      <c r="BR30" s="221"/>
      <c r="BS30" s="221"/>
      <c r="BT30" s="221"/>
      <c r="BU30" s="221"/>
      <c r="BV30" s="221"/>
      <c r="BW30" s="221"/>
      <c r="BX30" s="221"/>
      <c r="BY30" s="221"/>
      <c r="BZ30" s="221"/>
      <c r="CA30" s="221"/>
      <c r="CB30" s="221"/>
      <c r="CC30" s="221"/>
      <c r="CD30" s="221"/>
      <c r="CE30" s="221"/>
      <c r="CF30" s="221"/>
      <c r="CG30" s="221"/>
      <c r="CH30" s="221"/>
      <c r="CI30" s="221"/>
      <c r="CJ30" s="221"/>
      <c r="CK30" s="221"/>
      <c r="CL30" s="221"/>
      <c r="CM30" s="221"/>
      <c r="CN30" s="221"/>
      <c r="CO30" s="221"/>
      <c r="CP30" s="221"/>
      <c r="CQ30" s="221"/>
      <c r="CR30" s="221"/>
      <c r="CS30" s="221"/>
      <c r="CT30" s="221"/>
      <c r="CU30" s="221"/>
      <c r="CV30" s="221"/>
      <c r="CW30" s="221"/>
      <c r="CX30" s="221"/>
      <c r="CY30" s="221"/>
      <c r="CZ30" s="221"/>
      <c r="DA30" s="221"/>
      <c r="DB30" s="221"/>
      <c r="DC30" s="221"/>
      <c r="DD30" s="221"/>
      <c r="DE30" s="221"/>
      <c r="DF30" s="221"/>
      <c r="DG30" s="221"/>
      <c r="DH30" s="221"/>
      <c r="DI30" s="221"/>
      <c r="DJ30" s="221"/>
      <c r="DK30" s="221"/>
      <c r="DL30" s="221"/>
      <c r="DM30" s="221"/>
      <c r="DN30" s="221"/>
      <c r="DO30" s="221"/>
      <c r="DP30" s="221"/>
      <c r="DQ30" s="221"/>
      <c r="DR30" s="221"/>
      <c r="DS30" s="221"/>
      <c r="DT30" s="221"/>
      <c r="DU30" s="221"/>
      <c r="DV30" s="221"/>
      <c r="DW30" s="221"/>
      <c r="DX30" s="221"/>
      <c r="DY30" s="221"/>
      <c r="DZ30" s="221"/>
      <c r="EA30" s="221"/>
      <c r="EB30" s="221"/>
      <c r="EC30" s="221"/>
      <c r="ED30" s="221"/>
      <c r="EE30" s="221"/>
      <c r="EF30" s="221"/>
    </row>
    <row r="31" spans="1:136" s="2" customFormat="1" ht="18" customHeight="1">
      <c r="A31" s="994" t="s">
        <v>511</v>
      </c>
      <c r="B31" s="994"/>
      <c r="C31" s="994"/>
      <c r="D31" s="994"/>
      <c r="E31" s="994"/>
      <c r="F31" s="994"/>
      <c r="G31" s="994"/>
      <c r="H31" s="994"/>
      <c r="I31" s="994"/>
      <c r="J31" s="994"/>
      <c r="K31" s="994"/>
      <c r="L31" s="994"/>
      <c r="M31" s="1021" t="s">
        <v>216</v>
      </c>
      <c r="N31" s="1021"/>
      <c r="O31" s="1021"/>
      <c r="P31" s="1021"/>
      <c r="Q31" s="980"/>
      <c r="R31" s="980"/>
      <c r="S31" s="980"/>
      <c r="T31" s="980"/>
      <c r="U31" s="980"/>
      <c r="V31" s="980"/>
      <c r="W31" s="980"/>
      <c r="X31" s="980"/>
      <c r="Y31" s="980"/>
      <c r="Z31" s="980"/>
      <c r="AA31" s="980"/>
      <c r="AB31" s="980"/>
      <c r="AC31" s="980"/>
      <c r="AD31" s="980"/>
      <c r="AE31" s="980"/>
      <c r="AF31" s="980"/>
      <c r="AG31" s="221"/>
      <c r="AH31" s="1002" t="str">
        <f>IF('Work Scope'!AD60="","",'Work Scope'!D60)</f>
        <v/>
      </c>
      <c r="AI31" s="1002"/>
      <c r="AJ31" s="1002"/>
      <c r="AK31" s="1002"/>
      <c r="AL31" s="1002"/>
      <c r="AM31" s="1002"/>
      <c r="AN31" s="1002"/>
      <c r="AO31" s="1002"/>
      <c r="AP31" s="1002"/>
      <c r="AQ31" s="1002"/>
      <c r="AR31" s="1002"/>
      <c r="AS31" s="1002"/>
      <c r="AT31" s="1002"/>
      <c r="AU31" s="1002"/>
      <c r="AV31" s="1002"/>
      <c r="AW31" s="1091" t="str">
        <f>IF('Work Scope'!AD60="","",'Work Scope'!AB60)</f>
        <v/>
      </c>
      <c r="AX31" s="1092"/>
      <c r="AY31" s="1059" t="str">
        <f>IF('Work Scope'!AD60="","",'Work Scope'!B60)</f>
        <v/>
      </c>
      <c r="AZ31" s="1059"/>
      <c r="BA31" s="1038" t="str">
        <f>IF('Work Scope'!AD60="","",'Work Scope'!AD60)</f>
        <v/>
      </c>
      <c r="BB31" s="1039"/>
      <c r="BC31" s="1039"/>
      <c r="BD31" s="1040"/>
      <c r="BE31" s="1086" t="str">
        <f>IF('Work Scope'!AD60="","",'Work Scope'!AH60/AW31)</f>
        <v/>
      </c>
      <c r="BF31" s="1086"/>
      <c r="BG31" s="1086"/>
      <c r="BH31" s="1086"/>
      <c r="BI31" s="221"/>
      <c r="BJ31" s="221"/>
      <c r="BK31" s="221"/>
      <c r="BL31" s="221"/>
      <c r="BM31" s="221"/>
      <c r="BN31" s="221"/>
      <c r="BO31" s="221"/>
      <c r="BP31" s="221"/>
      <c r="BQ31" s="221"/>
      <c r="BR31" s="221"/>
      <c r="BS31" s="221"/>
      <c r="BT31" s="221"/>
      <c r="BU31" s="221"/>
      <c r="BV31" s="221"/>
      <c r="BW31" s="221"/>
      <c r="BX31" s="221"/>
      <c r="BY31" s="221"/>
      <c r="BZ31" s="221"/>
      <c r="CA31" s="221"/>
      <c r="CB31" s="221"/>
      <c r="CC31" s="221"/>
      <c r="CD31" s="221"/>
      <c r="CE31" s="221"/>
      <c r="CF31" s="221"/>
      <c r="CG31" s="221"/>
      <c r="CH31" s="221"/>
      <c r="CI31" s="221"/>
      <c r="CJ31" s="221"/>
      <c r="CK31" s="221"/>
      <c r="CL31" s="221"/>
      <c r="CM31" s="221"/>
      <c r="CN31" s="221"/>
      <c r="CO31" s="221"/>
      <c r="CP31" s="221"/>
      <c r="CQ31" s="221"/>
      <c r="CR31" s="221"/>
      <c r="CS31" s="221"/>
      <c r="CT31" s="221"/>
      <c r="CU31" s="221"/>
      <c r="CV31" s="221"/>
      <c r="CW31" s="221"/>
      <c r="CX31" s="221"/>
      <c r="CY31" s="221"/>
      <c r="CZ31" s="221"/>
      <c r="DA31" s="221"/>
      <c r="DB31" s="221"/>
      <c r="DC31" s="221"/>
      <c r="DD31" s="221"/>
      <c r="DE31" s="221"/>
      <c r="DF31" s="221"/>
      <c r="DG31" s="221"/>
      <c r="DH31" s="221"/>
      <c r="DI31" s="221"/>
      <c r="DJ31" s="221"/>
      <c r="DK31" s="221"/>
      <c r="DL31" s="221"/>
      <c r="DM31" s="221"/>
      <c r="DN31" s="221"/>
      <c r="DO31" s="221"/>
      <c r="DP31" s="221"/>
      <c r="DQ31" s="221"/>
      <c r="DR31" s="221"/>
      <c r="DS31" s="221"/>
      <c r="DT31" s="221"/>
      <c r="DU31" s="221"/>
      <c r="DV31" s="221"/>
      <c r="DW31" s="221"/>
      <c r="DX31" s="221"/>
      <c r="DY31" s="221"/>
      <c r="DZ31" s="221"/>
      <c r="EA31" s="221"/>
      <c r="EB31" s="221"/>
      <c r="EC31" s="221"/>
      <c r="ED31" s="221"/>
      <c r="EE31" s="221"/>
      <c r="EF31" s="221"/>
    </row>
    <row r="32" spans="1:136" s="2" customFormat="1" ht="18" customHeight="1">
      <c r="A32" s="1017">
        <f>'Ancillary Costs'!B11</f>
        <v>0</v>
      </c>
      <c r="B32" s="1017"/>
      <c r="C32" s="1017"/>
      <c r="D32" s="1017"/>
      <c r="E32" s="1017"/>
      <c r="F32" s="1017"/>
      <c r="G32" s="1017"/>
      <c r="H32" s="1017"/>
      <c r="I32" s="1017"/>
      <c r="J32" s="1017"/>
      <c r="K32" s="1017"/>
      <c r="L32" s="1017"/>
      <c r="M32" s="1000">
        <f>'Ancillary Costs'!Q11</f>
        <v>0</v>
      </c>
      <c r="N32" s="1001"/>
      <c r="O32" s="1001"/>
      <c r="P32" s="1001"/>
      <c r="Q32" s="980"/>
      <c r="R32" s="980"/>
      <c r="S32" s="980"/>
      <c r="T32" s="980"/>
      <c r="U32" s="980"/>
      <c r="V32" s="980"/>
      <c r="W32" s="980"/>
      <c r="X32" s="980"/>
      <c r="Y32" s="980"/>
      <c r="Z32" s="980"/>
      <c r="AA32" s="980"/>
      <c r="AB32" s="980"/>
      <c r="AC32" s="980"/>
      <c r="AD32" s="980"/>
      <c r="AE32" s="980"/>
      <c r="AF32" s="980"/>
      <c r="AG32" s="221"/>
      <c r="AH32" s="1017" t="str">
        <f>IF('Work Scope'!AD61="","",'Work Scope'!D61)</f>
        <v/>
      </c>
      <c r="AI32" s="1017"/>
      <c r="AJ32" s="1017"/>
      <c r="AK32" s="1017"/>
      <c r="AL32" s="1017"/>
      <c r="AM32" s="1017"/>
      <c r="AN32" s="1017"/>
      <c r="AO32" s="1017"/>
      <c r="AP32" s="1017"/>
      <c r="AQ32" s="1017"/>
      <c r="AR32" s="1017"/>
      <c r="AS32" s="1017"/>
      <c r="AT32" s="1017"/>
      <c r="AU32" s="1017"/>
      <c r="AV32" s="1017"/>
      <c r="AW32" s="1087" t="str">
        <f>IF('Work Scope'!AD61="","",'Work Scope'!AB61)</f>
        <v/>
      </c>
      <c r="AX32" s="1088"/>
      <c r="AY32" s="1089" t="str">
        <f>IF('Work Scope'!AD61="","",'Work Scope'!B61)</f>
        <v/>
      </c>
      <c r="AZ32" s="1089"/>
      <c r="BA32" s="1000" t="str">
        <f>IF('Work Scope'!AD61="","",'Work Scope'!AD61)</f>
        <v/>
      </c>
      <c r="BB32" s="1001"/>
      <c r="BC32" s="1001"/>
      <c r="BD32" s="1037"/>
      <c r="BE32" s="1090" t="str">
        <f>IF('Work Scope'!AD61="","",'Work Scope'!AH61/AW32)</f>
        <v/>
      </c>
      <c r="BF32" s="1090"/>
      <c r="BG32" s="1090"/>
      <c r="BH32" s="1090"/>
      <c r="BI32" s="221"/>
      <c r="BJ32" s="221"/>
      <c r="BK32" s="221"/>
      <c r="BL32" s="221"/>
      <c r="BM32" s="221"/>
      <c r="BN32" s="221"/>
      <c r="BO32" s="221"/>
      <c r="BP32" s="221"/>
      <c r="BQ32" s="221"/>
      <c r="BR32" s="221"/>
      <c r="BS32" s="221"/>
      <c r="BT32" s="221"/>
      <c r="BU32" s="221"/>
      <c r="BV32" s="221"/>
      <c r="BW32" s="221"/>
      <c r="BX32" s="221"/>
      <c r="BY32" s="221"/>
      <c r="BZ32" s="221"/>
      <c r="CA32" s="221"/>
      <c r="CB32" s="221"/>
      <c r="CC32" s="221"/>
      <c r="CD32" s="221"/>
      <c r="CE32" s="221"/>
      <c r="CF32" s="221"/>
      <c r="CG32" s="221"/>
      <c r="CH32" s="221"/>
      <c r="CI32" s="221"/>
      <c r="CJ32" s="221"/>
      <c r="CK32" s="221"/>
      <c r="CL32" s="221"/>
      <c r="CM32" s="221"/>
      <c r="CN32" s="221"/>
      <c r="CO32" s="221"/>
      <c r="CP32" s="221"/>
      <c r="CQ32" s="221"/>
      <c r="CR32" s="221"/>
      <c r="CS32" s="221"/>
      <c r="CT32" s="221"/>
      <c r="CU32" s="221"/>
      <c r="CV32" s="221"/>
      <c r="CW32" s="221"/>
      <c r="CX32" s="221"/>
      <c r="CY32" s="221"/>
      <c r="CZ32" s="221"/>
      <c r="DA32" s="221"/>
      <c r="DB32" s="221"/>
      <c r="DC32" s="221"/>
      <c r="DD32" s="221"/>
      <c r="DE32" s="221"/>
      <c r="DF32" s="221"/>
      <c r="DG32" s="221"/>
      <c r="DH32" s="221"/>
      <c r="DI32" s="221"/>
      <c r="DJ32" s="221"/>
      <c r="DK32" s="221"/>
      <c r="DL32" s="221"/>
      <c r="DM32" s="221"/>
      <c r="DN32" s="221"/>
      <c r="DO32" s="221"/>
      <c r="DP32" s="221"/>
      <c r="DQ32" s="221"/>
      <c r="DR32" s="221"/>
      <c r="DS32" s="221"/>
      <c r="DT32" s="221"/>
      <c r="DU32" s="221"/>
      <c r="DV32" s="221"/>
      <c r="DW32" s="221"/>
      <c r="DX32" s="221"/>
      <c r="DY32" s="221"/>
      <c r="DZ32" s="221"/>
      <c r="EA32" s="221"/>
      <c r="EB32" s="221"/>
      <c r="EC32" s="221"/>
      <c r="ED32" s="221"/>
      <c r="EE32" s="221"/>
      <c r="EF32" s="221"/>
    </row>
    <row r="33" spans="1:136" s="2" customFormat="1" ht="18" customHeight="1">
      <c r="A33" s="993">
        <f>'Ancillary Costs'!B12</f>
        <v>0</v>
      </c>
      <c r="B33" s="993"/>
      <c r="C33" s="993"/>
      <c r="D33" s="993"/>
      <c r="E33" s="993"/>
      <c r="F33" s="993"/>
      <c r="G33" s="993"/>
      <c r="H33" s="993"/>
      <c r="I33" s="993"/>
      <c r="J33" s="993"/>
      <c r="K33" s="993"/>
      <c r="L33" s="993"/>
      <c r="M33" s="998">
        <f>'Ancillary Costs'!Q12</f>
        <v>0</v>
      </c>
      <c r="N33" s="999"/>
      <c r="O33" s="999"/>
      <c r="P33" s="999"/>
      <c r="Q33" s="980"/>
      <c r="R33" s="980"/>
      <c r="S33" s="980"/>
      <c r="T33" s="980"/>
      <c r="U33" s="980"/>
      <c r="V33" s="980"/>
      <c r="W33" s="980"/>
      <c r="X33" s="980"/>
      <c r="Y33" s="980"/>
      <c r="Z33" s="980"/>
      <c r="AA33" s="980"/>
      <c r="AB33" s="980"/>
      <c r="AC33" s="980"/>
      <c r="AD33" s="980"/>
      <c r="AE33" s="980"/>
      <c r="AF33" s="980"/>
      <c r="AG33" s="221"/>
      <c r="AH33" s="1002" t="str">
        <f>IF('Work Scope'!AD62="","",'Work Scope'!D62)</f>
        <v/>
      </c>
      <c r="AI33" s="1002"/>
      <c r="AJ33" s="1002"/>
      <c r="AK33" s="1002"/>
      <c r="AL33" s="1002"/>
      <c r="AM33" s="1002"/>
      <c r="AN33" s="1002"/>
      <c r="AO33" s="1002"/>
      <c r="AP33" s="1002"/>
      <c r="AQ33" s="1002"/>
      <c r="AR33" s="1002"/>
      <c r="AS33" s="1002"/>
      <c r="AT33" s="1002"/>
      <c r="AU33" s="1002"/>
      <c r="AV33" s="1002"/>
      <c r="AW33" s="1091" t="str">
        <f>IF('Work Scope'!AD62="","",'Work Scope'!AB62)</f>
        <v/>
      </c>
      <c r="AX33" s="1092"/>
      <c r="AY33" s="1059" t="str">
        <f>IF('Work Scope'!AD62="","",'Work Scope'!B62)</f>
        <v/>
      </c>
      <c r="AZ33" s="1059"/>
      <c r="BA33" s="1038" t="str">
        <f>IF('Work Scope'!AD62="","",'Work Scope'!AD62)</f>
        <v/>
      </c>
      <c r="BB33" s="1039"/>
      <c r="BC33" s="1039"/>
      <c r="BD33" s="1040"/>
      <c r="BE33" s="1086" t="str">
        <f>IF('Work Scope'!AD62="","",'Work Scope'!AH62/AW33)</f>
        <v/>
      </c>
      <c r="BF33" s="1086"/>
      <c r="BG33" s="1086"/>
      <c r="BH33" s="1086"/>
      <c r="BI33" s="221"/>
      <c r="BJ33" s="221"/>
      <c r="BK33" s="221"/>
      <c r="BL33" s="221"/>
      <c r="BM33" s="221"/>
      <c r="BN33" s="221"/>
      <c r="BO33" s="221"/>
      <c r="BP33" s="221"/>
      <c r="BQ33" s="221"/>
      <c r="BR33" s="221"/>
      <c r="BS33" s="221"/>
      <c r="BT33" s="221"/>
      <c r="BU33" s="221"/>
      <c r="BV33" s="221"/>
      <c r="BW33" s="221"/>
      <c r="BX33" s="221"/>
      <c r="BY33" s="221"/>
      <c r="BZ33" s="221"/>
      <c r="CA33" s="221"/>
      <c r="CB33" s="221"/>
      <c r="CC33" s="221"/>
      <c r="CD33" s="221"/>
      <c r="CE33" s="221"/>
      <c r="CF33" s="221"/>
      <c r="CG33" s="221"/>
      <c r="CH33" s="221"/>
      <c r="CI33" s="221"/>
      <c r="CJ33" s="221"/>
      <c r="CK33" s="221"/>
      <c r="CL33" s="221"/>
      <c r="CM33" s="221"/>
      <c r="CN33" s="221"/>
      <c r="CO33" s="221"/>
      <c r="CP33" s="221"/>
      <c r="CQ33" s="221"/>
      <c r="CR33" s="221"/>
      <c r="CS33" s="221"/>
      <c r="CT33" s="221"/>
      <c r="CU33" s="221"/>
      <c r="CV33" s="221"/>
      <c r="CW33" s="221"/>
      <c r="CX33" s="221"/>
      <c r="CY33" s="221"/>
      <c r="CZ33" s="221"/>
      <c r="DA33" s="221"/>
      <c r="DB33" s="221"/>
      <c r="DC33" s="221"/>
      <c r="DD33" s="221"/>
      <c r="DE33" s="221"/>
      <c r="DF33" s="221"/>
      <c r="DG33" s="221"/>
      <c r="DH33" s="221"/>
      <c r="DI33" s="221"/>
      <c r="DJ33" s="221"/>
      <c r="DK33" s="221"/>
      <c r="DL33" s="221"/>
      <c r="DM33" s="221"/>
      <c r="DN33" s="221"/>
      <c r="DO33" s="221"/>
      <c r="DP33" s="221"/>
      <c r="DQ33" s="221"/>
      <c r="DR33" s="221"/>
      <c r="DS33" s="221"/>
      <c r="DT33" s="221"/>
      <c r="DU33" s="221"/>
      <c r="DV33" s="221"/>
      <c r="DW33" s="221"/>
      <c r="DX33" s="221"/>
      <c r="DY33" s="221"/>
      <c r="DZ33" s="221"/>
      <c r="EA33" s="221"/>
      <c r="EB33" s="221"/>
      <c r="EC33" s="221"/>
      <c r="ED33" s="221"/>
      <c r="EE33" s="221"/>
      <c r="EF33" s="221"/>
    </row>
    <row r="34" spans="1:136" s="2" customFormat="1" ht="18" customHeight="1">
      <c r="A34" s="1017">
        <f>'Ancillary Costs'!B13</f>
        <v>0</v>
      </c>
      <c r="B34" s="1017"/>
      <c r="C34" s="1017"/>
      <c r="D34" s="1017"/>
      <c r="E34" s="1017"/>
      <c r="F34" s="1017"/>
      <c r="G34" s="1017"/>
      <c r="H34" s="1017"/>
      <c r="I34" s="1017"/>
      <c r="J34" s="1017"/>
      <c r="K34" s="1017"/>
      <c r="L34" s="1017"/>
      <c r="M34" s="1000">
        <f>'Ancillary Costs'!Q13</f>
        <v>0</v>
      </c>
      <c r="N34" s="1001"/>
      <c r="O34" s="1001"/>
      <c r="P34" s="1001"/>
      <c r="Q34" s="980"/>
      <c r="R34" s="980"/>
      <c r="S34" s="980"/>
      <c r="T34" s="980"/>
      <c r="U34" s="980"/>
      <c r="V34" s="980"/>
      <c r="W34" s="980"/>
      <c r="X34" s="980"/>
      <c r="Y34" s="980"/>
      <c r="Z34" s="980"/>
      <c r="AA34" s="980"/>
      <c r="AB34" s="980"/>
      <c r="AC34" s="980"/>
      <c r="AD34" s="980"/>
      <c r="AE34" s="980"/>
      <c r="AF34" s="980"/>
      <c r="AG34" s="221"/>
      <c r="AH34" s="1017" t="str">
        <f>IF('Work Scope'!AD63="","",'Work Scope'!D63)</f>
        <v/>
      </c>
      <c r="AI34" s="1017"/>
      <c r="AJ34" s="1017"/>
      <c r="AK34" s="1017"/>
      <c r="AL34" s="1017"/>
      <c r="AM34" s="1017"/>
      <c r="AN34" s="1017"/>
      <c r="AO34" s="1017"/>
      <c r="AP34" s="1017"/>
      <c r="AQ34" s="1017"/>
      <c r="AR34" s="1017"/>
      <c r="AS34" s="1017"/>
      <c r="AT34" s="1017"/>
      <c r="AU34" s="1017"/>
      <c r="AV34" s="1017"/>
      <c r="AW34" s="1087" t="str">
        <f>IF('Work Scope'!AD63="","",'Work Scope'!AB63)</f>
        <v/>
      </c>
      <c r="AX34" s="1088"/>
      <c r="AY34" s="1089" t="str">
        <f>IF('Work Scope'!AD63="","",'Work Scope'!B63)</f>
        <v/>
      </c>
      <c r="AZ34" s="1089"/>
      <c r="BA34" s="1000" t="str">
        <f>IF('Work Scope'!AD63="","",'Work Scope'!AD63)</f>
        <v/>
      </c>
      <c r="BB34" s="1001"/>
      <c r="BC34" s="1001"/>
      <c r="BD34" s="1037"/>
      <c r="BE34" s="1090" t="str">
        <f>IF('Work Scope'!AD63="","",'Work Scope'!AH63/AW34)</f>
        <v/>
      </c>
      <c r="BF34" s="1090"/>
      <c r="BG34" s="1090"/>
      <c r="BH34" s="1090"/>
      <c r="BI34" s="221"/>
      <c r="BJ34" s="221"/>
      <c r="BK34" s="221"/>
      <c r="BL34" s="221"/>
      <c r="BM34" s="221"/>
      <c r="BN34" s="221"/>
      <c r="BO34" s="221"/>
      <c r="BP34" s="221"/>
      <c r="BQ34" s="221"/>
      <c r="BR34" s="221"/>
      <c r="BS34" s="221"/>
      <c r="BT34" s="221"/>
      <c r="BU34" s="221"/>
      <c r="BV34" s="221"/>
      <c r="BW34" s="221"/>
      <c r="BX34" s="221"/>
      <c r="BY34" s="221"/>
      <c r="BZ34" s="221"/>
      <c r="CA34" s="221"/>
      <c r="CB34" s="221"/>
      <c r="CC34" s="221"/>
      <c r="CD34" s="221"/>
      <c r="CE34" s="221"/>
      <c r="CF34" s="221"/>
      <c r="CG34" s="221"/>
      <c r="CH34" s="221"/>
      <c r="CI34" s="221"/>
      <c r="CJ34" s="221"/>
      <c r="CK34" s="221"/>
      <c r="CL34" s="221"/>
      <c r="CM34" s="221"/>
      <c r="CN34" s="221"/>
      <c r="CO34" s="221"/>
      <c r="CP34" s="221"/>
      <c r="CQ34" s="221"/>
      <c r="CR34" s="221"/>
      <c r="CS34" s="221"/>
      <c r="CT34" s="221"/>
      <c r="CU34" s="221"/>
      <c r="CV34" s="221"/>
      <c r="CW34" s="221"/>
      <c r="CX34" s="221"/>
      <c r="CY34" s="221"/>
      <c r="CZ34" s="221"/>
      <c r="DA34" s="221"/>
      <c r="DB34" s="221"/>
      <c r="DC34" s="221"/>
      <c r="DD34" s="221"/>
      <c r="DE34" s="221"/>
      <c r="DF34" s="221"/>
      <c r="DG34" s="221"/>
      <c r="DH34" s="221"/>
      <c r="DI34" s="221"/>
      <c r="DJ34" s="221"/>
      <c r="DK34" s="221"/>
      <c r="DL34" s="221"/>
      <c r="DM34" s="221"/>
      <c r="DN34" s="221"/>
      <c r="DO34" s="221"/>
      <c r="DP34" s="221"/>
      <c r="DQ34" s="221"/>
      <c r="DR34" s="221"/>
      <c r="DS34" s="221"/>
      <c r="DT34" s="221"/>
      <c r="DU34" s="221"/>
      <c r="DV34" s="221"/>
      <c r="DW34" s="221"/>
      <c r="DX34" s="221"/>
      <c r="DY34" s="221"/>
      <c r="DZ34" s="221"/>
      <c r="EA34" s="221"/>
      <c r="EB34" s="221"/>
      <c r="EC34" s="221"/>
      <c r="ED34" s="221"/>
      <c r="EE34" s="221"/>
      <c r="EF34" s="221"/>
    </row>
    <row r="35" spans="1:136" s="2" customFormat="1" ht="18" customHeight="1">
      <c r="A35" s="993">
        <f>'Ancillary Costs'!B14</f>
        <v>0</v>
      </c>
      <c r="B35" s="993"/>
      <c r="C35" s="993"/>
      <c r="D35" s="993"/>
      <c r="E35" s="993"/>
      <c r="F35" s="993"/>
      <c r="G35" s="993"/>
      <c r="H35" s="993"/>
      <c r="I35" s="993"/>
      <c r="J35" s="993"/>
      <c r="K35" s="993"/>
      <c r="L35" s="993"/>
      <c r="M35" s="998">
        <f>'Ancillary Costs'!Q14</f>
        <v>0</v>
      </c>
      <c r="N35" s="999"/>
      <c r="O35" s="999"/>
      <c r="P35" s="999"/>
      <c r="Q35" s="980"/>
      <c r="R35" s="980"/>
      <c r="S35" s="980"/>
      <c r="T35" s="980"/>
      <c r="U35" s="980"/>
      <c r="V35" s="980"/>
      <c r="W35" s="980"/>
      <c r="X35" s="980"/>
      <c r="Y35" s="980"/>
      <c r="Z35" s="980"/>
      <c r="AA35" s="980"/>
      <c r="AB35" s="980"/>
      <c r="AC35" s="980"/>
      <c r="AD35" s="980"/>
      <c r="AE35" s="980"/>
      <c r="AF35" s="980"/>
      <c r="AG35" s="221"/>
      <c r="AH35" s="1002" t="str">
        <f>IF('Work Scope'!AD64="","",'Work Scope'!D64)</f>
        <v/>
      </c>
      <c r="AI35" s="1002"/>
      <c r="AJ35" s="1002"/>
      <c r="AK35" s="1002"/>
      <c r="AL35" s="1002"/>
      <c r="AM35" s="1002"/>
      <c r="AN35" s="1002"/>
      <c r="AO35" s="1002"/>
      <c r="AP35" s="1002"/>
      <c r="AQ35" s="1002"/>
      <c r="AR35" s="1002"/>
      <c r="AS35" s="1002"/>
      <c r="AT35" s="1002"/>
      <c r="AU35" s="1002"/>
      <c r="AV35" s="1002"/>
      <c r="AW35" s="1091" t="str">
        <f>IF('Work Scope'!AD64="","",'Work Scope'!AB64)</f>
        <v/>
      </c>
      <c r="AX35" s="1092"/>
      <c r="AY35" s="1059" t="str">
        <f>IF('Work Scope'!AD64="","",'Work Scope'!B64)</f>
        <v/>
      </c>
      <c r="AZ35" s="1059"/>
      <c r="BA35" s="1038" t="str">
        <f>IF('Work Scope'!AD64="","",'Work Scope'!AD64)</f>
        <v/>
      </c>
      <c r="BB35" s="1039"/>
      <c r="BC35" s="1039"/>
      <c r="BD35" s="1040"/>
      <c r="BE35" s="1086" t="str">
        <f>IF('Work Scope'!AD64="","",'Work Scope'!AH64/AW35)</f>
        <v/>
      </c>
      <c r="BF35" s="1086"/>
      <c r="BG35" s="1086"/>
      <c r="BH35" s="1086"/>
      <c r="BI35" s="221"/>
      <c r="BJ35" s="221"/>
      <c r="BK35" s="221"/>
      <c r="BL35" s="221"/>
      <c r="BM35" s="221"/>
      <c r="BN35" s="221"/>
      <c r="BO35" s="221"/>
      <c r="BP35" s="221"/>
      <c r="BQ35" s="221"/>
      <c r="BR35" s="221"/>
      <c r="BS35" s="221"/>
      <c r="BT35" s="221"/>
      <c r="BU35" s="221"/>
      <c r="BV35" s="221"/>
      <c r="BW35" s="221"/>
      <c r="BX35" s="221"/>
      <c r="BY35" s="221"/>
      <c r="BZ35" s="221"/>
      <c r="CA35" s="221"/>
      <c r="CB35" s="221"/>
      <c r="CC35" s="221"/>
      <c r="CD35" s="221"/>
      <c r="CE35" s="221"/>
      <c r="CF35" s="221"/>
      <c r="CG35" s="221"/>
      <c r="CH35" s="221"/>
      <c r="CI35" s="221"/>
      <c r="CJ35" s="221"/>
      <c r="CK35" s="221"/>
      <c r="CL35" s="221"/>
      <c r="CM35" s="221"/>
      <c r="CN35" s="221"/>
      <c r="CO35" s="221"/>
      <c r="CP35" s="221"/>
      <c r="CQ35" s="221"/>
      <c r="CR35" s="221"/>
      <c r="CS35" s="221"/>
      <c r="CT35" s="221"/>
      <c r="CU35" s="221"/>
      <c r="CV35" s="221"/>
      <c r="CW35" s="221"/>
      <c r="CX35" s="221"/>
      <c r="CY35" s="221"/>
      <c r="CZ35" s="221"/>
      <c r="DA35" s="221"/>
      <c r="DB35" s="221"/>
      <c r="DC35" s="221"/>
      <c r="DD35" s="221"/>
      <c r="DE35" s="221"/>
      <c r="DF35" s="221"/>
      <c r="DG35" s="221"/>
      <c r="DH35" s="221"/>
      <c r="DI35" s="221"/>
      <c r="DJ35" s="221"/>
      <c r="DK35" s="221"/>
      <c r="DL35" s="221"/>
      <c r="DM35" s="221"/>
      <c r="DN35" s="221"/>
      <c r="DO35" s="221"/>
      <c r="DP35" s="221"/>
      <c r="DQ35" s="221"/>
      <c r="DR35" s="221"/>
      <c r="DS35" s="221"/>
      <c r="DT35" s="221"/>
      <c r="DU35" s="221"/>
      <c r="DV35" s="221"/>
      <c r="DW35" s="221"/>
      <c r="DX35" s="221"/>
      <c r="DY35" s="221"/>
      <c r="DZ35" s="221"/>
      <c r="EA35" s="221"/>
      <c r="EB35" s="221"/>
      <c r="EC35" s="221"/>
      <c r="ED35" s="221"/>
      <c r="EE35" s="221"/>
      <c r="EF35" s="221"/>
    </row>
    <row r="36" spans="1:136" s="2" customFormat="1" ht="18" customHeight="1" thickBot="1">
      <c r="A36" s="1017">
        <f>'Ancillary Costs'!B15</f>
        <v>0</v>
      </c>
      <c r="B36" s="1017"/>
      <c r="C36" s="1017"/>
      <c r="D36" s="1017"/>
      <c r="E36" s="1017"/>
      <c r="F36" s="1017"/>
      <c r="G36" s="1017"/>
      <c r="H36" s="1017"/>
      <c r="I36" s="1017"/>
      <c r="J36" s="1017"/>
      <c r="K36" s="1017"/>
      <c r="L36" s="1017"/>
      <c r="M36" s="996">
        <f>'Ancillary Costs'!Q15</f>
        <v>0</v>
      </c>
      <c r="N36" s="997"/>
      <c r="O36" s="997"/>
      <c r="P36" s="997"/>
      <c r="Q36" s="980"/>
      <c r="R36" s="980"/>
      <c r="S36" s="980"/>
      <c r="T36" s="980"/>
      <c r="U36" s="980"/>
      <c r="V36" s="980"/>
      <c r="W36" s="980"/>
      <c r="X36" s="980"/>
      <c r="Y36" s="980"/>
      <c r="Z36" s="980"/>
      <c r="AA36" s="980"/>
      <c r="AB36" s="980"/>
      <c r="AC36" s="980"/>
      <c r="AD36" s="980"/>
      <c r="AE36" s="980"/>
      <c r="AF36" s="980"/>
      <c r="AG36" s="221"/>
      <c r="AH36" s="1017" t="str">
        <f>IF('Work Scope'!AD65="","",'Work Scope'!D65)</f>
        <v/>
      </c>
      <c r="AI36" s="1017"/>
      <c r="AJ36" s="1017"/>
      <c r="AK36" s="1017"/>
      <c r="AL36" s="1017"/>
      <c r="AM36" s="1017"/>
      <c r="AN36" s="1017"/>
      <c r="AO36" s="1017"/>
      <c r="AP36" s="1017"/>
      <c r="AQ36" s="1017"/>
      <c r="AR36" s="1017"/>
      <c r="AS36" s="1017"/>
      <c r="AT36" s="1017"/>
      <c r="AU36" s="1017"/>
      <c r="AV36" s="1017"/>
      <c r="AW36" s="1087" t="str">
        <f>IF('Work Scope'!AD65="","",'Work Scope'!AB65)</f>
        <v/>
      </c>
      <c r="AX36" s="1088"/>
      <c r="AY36" s="1089" t="str">
        <f>IF('Work Scope'!AD65="","",'Work Scope'!B65)</f>
        <v/>
      </c>
      <c r="AZ36" s="1089"/>
      <c r="BA36" s="1000" t="str">
        <f>IF('Work Scope'!AD65="","",'Work Scope'!AD65)</f>
        <v/>
      </c>
      <c r="BB36" s="1001"/>
      <c r="BC36" s="1001"/>
      <c r="BD36" s="1037"/>
      <c r="BE36" s="1090" t="str">
        <f>IF('Work Scope'!AD65="","",'Work Scope'!AH65/AW36)</f>
        <v/>
      </c>
      <c r="BF36" s="1090"/>
      <c r="BG36" s="1090"/>
      <c r="BH36" s="1090"/>
      <c r="BI36" s="221"/>
      <c r="BJ36" s="221"/>
      <c r="BK36" s="221"/>
      <c r="BL36" s="221"/>
      <c r="BM36" s="221"/>
      <c r="BN36" s="221"/>
      <c r="BO36" s="221"/>
      <c r="BP36" s="221"/>
      <c r="BQ36" s="221"/>
      <c r="BR36" s="221"/>
      <c r="BS36" s="221"/>
      <c r="BT36" s="221"/>
      <c r="BU36" s="221"/>
      <c r="BV36" s="221"/>
      <c r="BW36" s="221"/>
      <c r="BX36" s="221"/>
      <c r="BY36" s="221"/>
      <c r="BZ36" s="221"/>
      <c r="CA36" s="221"/>
      <c r="CB36" s="221"/>
      <c r="CC36" s="221"/>
      <c r="CD36" s="221"/>
      <c r="CE36" s="221"/>
      <c r="CF36" s="221"/>
      <c r="CG36" s="221"/>
      <c r="CH36" s="221"/>
      <c r="CI36" s="221"/>
      <c r="CJ36" s="221"/>
      <c r="CK36" s="221"/>
      <c r="CL36" s="221"/>
      <c r="CM36" s="221"/>
      <c r="CN36" s="221"/>
      <c r="CO36" s="221"/>
      <c r="CP36" s="221"/>
      <c r="CQ36" s="221"/>
      <c r="CR36" s="221"/>
      <c r="CS36" s="221"/>
      <c r="CT36" s="221"/>
      <c r="CU36" s="221"/>
      <c r="CV36" s="221"/>
      <c r="CW36" s="221"/>
      <c r="CX36" s="221"/>
      <c r="CY36" s="221"/>
      <c r="CZ36" s="221"/>
      <c r="DA36" s="221"/>
      <c r="DB36" s="221"/>
      <c r="DC36" s="221"/>
      <c r="DD36" s="221"/>
      <c r="DE36" s="221"/>
      <c r="DF36" s="221"/>
      <c r="DG36" s="221"/>
      <c r="DH36" s="221"/>
      <c r="DI36" s="221"/>
      <c r="DJ36" s="221"/>
      <c r="DK36" s="221"/>
      <c r="DL36" s="221"/>
      <c r="DM36" s="221"/>
      <c r="DN36" s="221"/>
      <c r="DO36" s="221"/>
      <c r="DP36" s="221"/>
      <c r="DQ36" s="221"/>
      <c r="DR36" s="221"/>
      <c r="DS36" s="221"/>
      <c r="DT36" s="221"/>
      <c r="DU36" s="221"/>
      <c r="DV36" s="221"/>
      <c r="DW36" s="221"/>
      <c r="DX36" s="221"/>
      <c r="DY36" s="221"/>
      <c r="DZ36" s="221"/>
      <c r="EA36" s="221"/>
      <c r="EB36" s="221"/>
      <c r="EC36" s="221"/>
      <c r="ED36" s="221"/>
      <c r="EE36" s="221"/>
      <c r="EF36" s="221"/>
    </row>
    <row r="37" spans="1:136" s="2" customFormat="1" ht="18" customHeight="1" thickTop="1">
      <c r="A37" s="1016" t="s">
        <v>214</v>
      </c>
      <c r="B37" s="1016"/>
      <c r="C37" s="1016"/>
      <c r="D37" s="1016"/>
      <c r="E37" s="1016"/>
      <c r="F37" s="1016"/>
      <c r="G37" s="1016"/>
      <c r="H37" s="1016"/>
      <c r="I37" s="1016"/>
      <c r="J37" s="1016"/>
      <c r="K37" s="1016"/>
      <c r="L37" s="1016"/>
      <c r="M37" s="995">
        <f>'Ancillary Costs'!Q16</f>
        <v>0</v>
      </c>
      <c r="N37" s="995"/>
      <c r="O37" s="995"/>
      <c r="P37" s="995"/>
      <c r="Q37" s="980"/>
      <c r="R37" s="980"/>
      <c r="S37" s="980"/>
      <c r="T37" s="980"/>
      <c r="U37" s="980"/>
      <c r="V37" s="980"/>
      <c r="W37" s="980"/>
      <c r="X37" s="980"/>
      <c r="Y37" s="980"/>
      <c r="Z37" s="980"/>
      <c r="AA37" s="980"/>
      <c r="AB37" s="980"/>
      <c r="AC37" s="980"/>
      <c r="AD37" s="980"/>
      <c r="AE37" s="980"/>
      <c r="AF37" s="980"/>
      <c r="AG37" s="221"/>
      <c r="AH37" s="221"/>
      <c r="AI37" s="221"/>
      <c r="AJ37" s="221"/>
      <c r="AK37" s="221"/>
      <c r="AL37" s="221"/>
      <c r="AM37" s="221"/>
      <c r="AN37" s="221"/>
      <c r="AO37" s="221"/>
      <c r="AP37" s="221"/>
      <c r="AQ37" s="221"/>
      <c r="AR37" s="221"/>
      <c r="AS37" s="221"/>
      <c r="AT37" s="221"/>
      <c r="AU37" s="221"/>
      <c r="AV37" s="221"/>
      <c r="AW37" s="256"/>
      <c r="AX37" s="1031"/>
      <c r="AY37" s="1031"/>
      <c r="AZ37" s="1031"/>
      <c r="BA37" s="1032"/>
      <c r="BB37" s="1032"/>
      <c r="BC37" s="1032"/>
      <c r="BD37" s="1032"/>
      <c r="BE37" s="221"/>
      <c r="BF37" s="221"/>
      <c r="BG37" s="221"/>
      <c r="BH37" s="221"/>
      <c r="BI37" s="221"/>
      <c r="BJ37" s="221"/>
      <c r="BK37" s="221"/>
      <c r="BL37" s="221"/>
      <c r="BM37" s="221"/>
      <c r="BN37" s="221"/>
      <c r="BO37" s="221"/>
      <c r="BP37" s="221"/>
      <c r="BQ37" s="221"/>
      <c r="BR37" s="221"/>
      <c r="BS37" s="221"/>
      <c r="BT37" s="221"/>
      <c r="BU37" s="221"/>
      <c r="BV37" s="221"/>
      <c r="BW37" s="221"/>
      <c r="BX37" s="221"/>
      <c r="BY37" s="221"/>
      <c r="BZ37" s="221"/>
      <c r="CA37" s="221"/>
      <c r="CB37" s="221"/>
      <c r="CC37" s="221"/>
      <c r="CD37" s="221"/>
      <c r="CE37" s="221"/>
      <c r="CF37" s="221"/>
      <c r="CG37" s="221"/>
      <c r="CH37" s="221"/>
      <c r="CI37" s="221"/>
      <c r="CJ37" s="221"/>
      <c r="CK37" s="221"/>
      <c r="CL37" s="221"/>
      <c r="CM37" s="221"/>
      <c r="CN37" s="221"/>
      <c r="CO37" s="221"/>
      <c r="CP37" s="221"/>
      <c r="CQ37" s="221"/>
      <c r="CR37" s="221"/>
      <c r="CS37" s="221"/>
      <c r="CT37" s="221"/>
      <c r="CU37" s="221"/>
      <c r="CV37" s="221"/>
      <c r="CW37" s="221"/>
      <c r="CX37" s="221"/>
      <c r="CY37" s="221"/>
      <c r="CZ37" s="221"/>
      <c r="DA37" s="221"/>
      <c r="DB37" s="221"/>
      <c r="DC37" s="221"/>
      <c r="DD37" s="221"/>
      <c r="DE37" s="221"/>
      <c r="DF37" s="221"/>
      <c r="DG37" s="221"/>
      <c r="DH37" s="221"/>
      <c r="DI37" s="221"/>
      <c r="DJ37" s="221"/>
      <c r="DK37" s="221"/>
      <c r="DL37" s="221"/>
      <c r="DM37" s="221"/>
      <c r="DN37" s="221"/>
      <c r="DO37" s="221"/>
      <c r="DP37" s="221"/>
      <c r="DQ37" s="221"/>
      <c r="DR37" s="221"/>
      <c r="DS37" s="221"/>
      <c r="DT37" s="221"/>
      <c r="DU37" s="221"/>
      <c r="DV37" s="221"/>
      <c r="DW37" s="221"/>
      <c r="DX37" s="221"/>
      <c r="DY37" s="221"/>
      <c r="DZ37" s="221"/>
      <c r="EA37" s="221"/>
      <c r="EB37" s="221"/>
      <c r="EC37" s="221"/>
      <c r="ED37" s="221"/>
      <c r="EE37" s="221"/>
      <c r="EF37" s="221"/>
    </row>
    <row r="38" spans="1:136" s="2" customFormat="1" ht="18" customHeight="1">
      <c r="A38" s="979" t="s">
        <v>559</v>
      </c>
      <c r="B38" s="979"/>
      <c r="C38" s="979"/>
      <c r="D38" s="979"/>
      <c r="E38" s="979"/>
      <c r="F38" s="979"/>
      <c r="G38" s="979"/>
      <c r="H38" s="979"/>
      <c r="I38" s="979"/>
      <c r="J38" s="979"/>
      <c r="K38" s="221"/>
      <c r="L38" s="221"/>
      <c r="M38" s="221"/>
      <c r="N38" s="221"/>
      <c r="O38" s="221"/>
      <c r="P38" s="221"/>
      <c r="Q38" s="221"/>
      <c r="R38" s="221"/>
      <c r="S38" s="221"/>
      <c r="T38" s="221"/>
      <c r="U38" s="221"/>
      <c r="V38" s="221"/>
      <c r="W38" s="221"/>
      <c r="X38" s="221"/>
      <c r="Y38" s="221"/>
      <c r="Z38" s="221"/>
      <c r="AA38" s="221"/>
      <c r="AB38" s="221"/>
      <c r="AC38" s="221"/>
      <c r="AD38" s="221"/>
      <c r="AE38" s="221"/>
      <c r="AF38" s="221"/>
      <c r="AG38" s="221"/>
      <c r="AH38" s="250" t="s">
        <v>50</v>
      </c>
      <c r="AI38" s="221"/>
      <c r="AJ38" s="221"/>
      <c r="AK38" s="221"/>
      <c r="AL38" s="221"/>
      <c r="AM38" s="221"/>
      <c r="AN38" s="221"/>
      <c r="AO38" s="221"/>
      <c r="AP38" s="221"/>
      <c r="AQ38" s="221"/>
      <c r="AR38" s="221"/>
      <c r="AS38" s="221"/>
      <c r="AT38" s="221"/>
      <c r="AU38" s="221"/>
      <c r="AV38" s="221"/>
      <c r="AW38" s="255"/>
      <c r="AX38" s="221"/>
      <c r="AY38" s="221"/>
      <c r="AZ38" s="221"/>
      <c r="BA38" s="221"/>
      <c r="BB38" s="221"/>
      <c r="BC38" s="221"/>
      <c r="BD38" s="221"/>
      <c r="BE38" s="221"/>
      <c r="BF38" s="221"/>
      <c r="BG38" s="221"/>
      <c r="BH38" s="221"/>
      <c r="BI38" s="221"/>
      <c r="BJ38" s="221"/>
      <c r="BK38" s="221"/>
      <c r="BL38" s="221"/>
      <c r="BM38" s="221"/>
      <c r="BN38" s="221"/>
      <c r="BO38" s="221"/>
      <c r="BP38" s="221"/>
      <c r="BQ38" s="221"/>
      <c r="BR38" s="221"/>
      <c r="BS38" s="221"/>
      <c r="BT38" s="221"/>
      <c r="BU38" s="221"/>
      <c r="BV38" s="221"/>
      <c r="BW38" s="221"/>
      <c r="BX38" s="221"/>
      <c r="BY38" s="221"/>
      <c r="BZ38" s="221"/>
      <c r="CA38" s="221"/>
      <c r="CB38" s="221"/>
      <c r="CC38" s="221"/>
      <c r="CD38" s="221"/>
      <c r="CE38" s="221"/>
      <c r="CF38" s="221"/>
      <c r="CG38" s="221"/>
      <c r="CH38" s="221"/>
      <c r="CI38" s="221"/>
      <c r="CJ38" s="221"/>
      <c r="CK38" s="221"/>
      <c r="CL38" s="221"/>
      <c r="CM38" s="221"/>
      <c r="CN38" s="221"/>
      <c r="CO38" s="221"/>
      <c r="CP38" s="221"/>
      <c r="CQ38" s="221"/>
      <c r="CR38" s="221"/>
      <c r="CS38" s="221"/>
      <c r="CT38" s="221"/>
      <c r="CU38" s="221"/>
      <c r="CV38" s="221"/>
      <c r="CW38" s="221"/>
      <c r="CX38" s="221"/>
      <c r="CY38" s="221"/>
      <c r="CZ38" s="221"/>
      <c r="DA38" s="221"/>
      <c r="DB38" s="221"/>
      <c r="DC38" s="221"/>
      <c r="DD38" s="221"/>
      <c r="DE38" s="221"/>
      <c r="DF38" s="221"/>
      <c r="DG38" s="221"/>
      <c r="DH38" s="221"/>
      <c r="DI38" s="221"/>
      <c r="DJ38" s="221"/>
      <c r="DK38" s="221"/>
      <c r="DL38" s="221"/>
      <c r="DM38" s="221"/>
      <c r="DN38" s="221"/>
      <c r="DO38" s="221"/>
      <c r="DP38" s="221"/>
      <c r="DQ38" s="221"/>
      <c r="DR38" s="221"/>
      <c r="DS38" s="221"/>
      <c r="DT38" s="221"/>
      <c r="DU38" s="221"/>
      <c r="DV38" s="221"/>
      <c r="DW38" s="221"/>
      <c r="DX38" s="221"/>
      <c r="DY38" s="221"/>
      <c r="DZ38" s="221"/>
      <c r="EA38" s="221"/>
      <c r="EB38" s="221"/>
      <c r="EC38" s="221"/>
      <c r="ED38" s="221"/>
      <c r="EE38" s="221"/>
      <c r="EF38" s="221"/>
    </row>
    <row r="39" spans="1:136" s="239" customFormat="1" ht="18" customHeight="1">
      <c r="A39" s="986"/>
      <c r="B39" s="986"/>
      <c r="C39" s="491" t="s">
        <v>560</v>
      </c>
      <c r="D39" s="491"/>
      <c r="E39" s="491"/>
      <c r="F39" s="491"/>
      <c r="G39" s="491"/>
      <c r="H39" s="491"/>
      <c r="I39" s="491"/>
      <c r="J39" s="491"/>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1093" t="s">
        <v>511</v>
      </c>
      <c r="AI39" s="1093"/>
      <c r="AJ39" s="1093"/>
      <c r="AK39" s="1093"/>
      <c r="AL39" s="1093"/>
      <c r="AM39" s="1093"/>
      <c r="AN39" s="1093"/>
      <c r="AO39" s="1093"/>
      <c r="AP39" s="1093"/>
      <c r="AQ39" s="1093"/>
      <c r="AR39" s="1093"/>
      <c r="AS39" s="1093"/>
      <c r="AT39" s="1093"/>
      <c r="AU39" s="1093"/>
      <c r="AV39" s="1093"/>
      <c r="AW39" s="1094" t="s">
        <v>424</v>
      </c>
      <c r="AX39" s="1094"/>
      <c r="AY39" s="1094" t="s">
        <v>215</v>
      </c>
      <c r="AZ39" s="1094"/>
      <c r="BA39" s="1094" t="s">
        <v>216</v>
      </c>
      <c r="BB39" s="1094"/>
      <c r="BC39" s="1094"/>
      <c r="BD39" s="1094"/>
      <c r="BE39" s="1094" t="s">
        <v>52</v>
      </c>
      <c r="BF39" s="1094"/>
      <c r="BG39" s="1094"/>
      <c r="BH39" s="1094"/>
      <c r="BI39" s="262"/>
      <c r="BJ39" s="262"/>
      <c r="BK39" s="262"/>
      <c r="BL39" s="262"/>
      <c r="BM39" s="262"/>
      <c r="BN39" s="262"/>
      <c r="BO39" s="262"/>
      <c r="BP39" s="262"/>
      <c r="BQ39" s="262"/>
      <c r="BR39" s="262"/>
      <c r="BS39" s="262"/>
      <c r="BT39" s="262"/>
      <c r="BU39" s="262"/>
      <c r="BV39" s="262"/>
      <c r="BW39" s="262"/>
      <c r="BX39" s="262"/>
      <c r="BY39" s="262"/>
      <c r="BZ39" s="262"/>
      <c r="CA39" s="262"/>
      <c r="CB39" s="262"/>
      <c r="CC39" s="262"/>
      <c r="CD39" s="262"/>
      <c r="CE39" s="262"/>
      <c r="CF39" s="262"/>
      <c r="CG39" s="262"/>
      <c r="CH39" s="262"/>
      <c r="CI39" s="262"/>
      <c r="CJ39" s="262"/>
      <c r="CK39" s="262"/>
      <c r="CL39" s="262"/>
      <c r="CM39" s="262"/>
      <c r="CN39" s="262"/>
      <c r="CO39" s="262"/>
      <c r="CP39" s="262"/>
      <c r="CQ39" s="262"/>
      <c r="CR39" s="262"/>
      <c r="CS39" s="262"/>
      <c r="CT39" s="262"/>
      <c r="CU39" s="262"/>
      <c r="CV39" s="262"/>
      <c r="CW39" s="262"/>
      <c r="CX39" s="262"/>
      <c r="CY39" s="262"/>
      <c r="CZ39" s="262"/>
      <c r="DA39" s="262"/>
      <c r="DB39" s="262"/>
      <c r="DC39" s="262"/>
      <c r="DD39" s="262"/>
      <c r="DE39" s="262"/>
      <c r="DF39" s="262"/>
      <c r="DG39" s="262"/>
      <c r="DH39" s="262"/>
      <c r="DI39" s="262"/>
      <c r="DJ39" s="262"/>
      <c r="DK39" s="262"/>
      <c r="DL39" s="262"/>
      <c r="DM39" s="262"/>
      <c r="DN39" s="262"/>
      <c r="DO39" s="262"/>
      <c r="DP39" s="262"/>
      <c r="DQ39" s="262"/>
      <c r="DR39" s="262"/>
      <c r="DS39" s="262"/>
      <c r="DT39" s="262"/>
      <c r="DU39" s="262"/>
      <c r="DV39" s="262"/>
      <c r="DW39" s="262"/>
      <c r="DX39" s="262"/>
      <c r="DY39" s="262"/>
      <c r="DZ39" s="262"/>
      <c r="EA39" s="262"/>
      <c r="EB39" s="262"/>
      <c r="EC39" s="262"/>
      <c r="ED39" s="262"/>
      <c r="EE39" s="262"/>
      <c r="EF39" s="262"/>
    </row>
    <row r="40" spans="1:136" s="239" customFormat="1" ht="18" customHeight="1">
      <c r="A40" s="1023"/>
      <c r="B40" s="1023"/>
      <c r="C40" s="261" t="s">
        <v>1095</v>
      </c>
      <c r="D40" s="261"/>
      <c r="E40" s="261"/>
      <c r="F40" s="261"/>
      <c r="G40" s="261"/>
      <c r="H40" s="261"/>
      <c r="I40" s="261"/>
      <c r="J40" s="261"/>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1095" t="str">
        <f>IF('Work Scope'!AD70="","",'Work Scope'!D70)</f>
        <v/>
      </c>
      <c r="AI40" s="1095"/>
      <c r="AJ40" s="1095"/>
      <c r="AK40" s="1095"/>
      <c r="AL40" s="1095"/>
      <c r="AM40" s="1095"/>
      <c r="AN40" s="1095"/>
      <c r="AO40" s="1095"/>
      <c r="AP40" s="1095"/>
      <c r="AQ40" s="1095"/>
      <c r="AR40" s="1095"/>
      <c r="AS40" s="1095"/>
      <c r="AT40" s="1095"/>
      <c r="AU40" s="1095"/>
      <c r="AV40" s="1095"/>
      <c r="AW40" s="1096" t="str">
        <f>IF('Work Scope'!AD70="","",'Work Scope'!AB70)</f>
        <v/>
      </c>
      <c r="AX40" s="1097"/>
      <c r="AY40" s="1098" t="str">
        <f>IF('Work Scope'!AD70="","",'Work Scope'!B70)</f>
        <v/>
      </c>
      <c r="AZ40" s="1098"/>
      <c r="BA40" s="1099" t="str">
        <f>IF('Work Scope'!AD70="","",'Work Scope'!AD70)</f>
        <v/>
      </c>
      <c r="BB40" s="1100"/>
      <c r="BC40" s="1100"/>
      <c r="BD40" s="1101"/>
      <c r="BE40" s="1102" t="str">
        <f>IF('Work Scope'!AD70="","",'Work Scope'!AH70/AW40)</f>
        <v/>
      </c>
      <c r="BF40" s="1102"/>
      <c r="BG40" s="1102"/>
      <c r="BH40" s="1102"/>
      <c r="BI40" s="262"/>
      <c r="BJ40" s="262"/>
      <c r="BK40" s="262"/>
      <c r="BL40" s="262"/>
      <c r="BM40" s="262"/>
      <c r="BN40" s="262"/>
      <c r="BO40" s="262"/>
      <c r="BP40" s="262"/>
      <c r="BQ40" s="262"/>
      <c r="BR40" s="262"/>
      <c r="BS40" s="262"/>
      <c r="BT40" s="262"/>
      <c r="BU40" s="262"/>
      <c r="BV40" s="262"/>
      <c r="BW40" s="262"/>
      <c r="BX40" s="262"/>
      <c r="BY40" s="262"/>
      <c r="BZ40" s="262"/>
      <c r="CA40" s="262"/>
      <c r="CB40" s="262"/>
      <c r="CC40" s="262"/>
      <c r="CD40" s="262"/>
      <c r="CE40" s="262"/>
      <c r="CF40" s="262"/>
      <c r="CG40" s="262"/>
      <c r="CH40" s="262"/>
      <c r="CI40" s="262"/>
      <c r="CJ40" s="262"/>
      <c r="CK40" s="262"/>
      <c r="CL40" s="262"/>
      <c r="CM40" s="262"/>
      <c r="CN40" s="262"/>
      <c r="CO40" s="262"/>
      <c r="CP40" s="262"/>
      <c r="CQ40" s="262"/>
      <c r="CR40" s="262"/>
      <c r="CS40" s="262"/>
      <c r="CT40" s="262"/>
      <c r="CU40" s="262"/>
      <c r="CV40" s="262"/>
      <c r="CW40" s="262"/>
      <c r="CX40" s="262"/>
      <c r="CY40" s="262"/>
      <c r="CZ40" s="262"/>
      <c r="DA40" s="262"/>
      <c r="DB40" s="262"/>
      <c r="DC40" s="262"/>
      <c r="DD40" s="262"/>
      <c r="DE40" s="262"/>
      <c r="DF40" s="262"/>
      <c r="DG40" s="262"/>
      <c r="DH40" s="262"/>
      <c r="DI40" s="262"/>
      <c r="DJ40" s="262"/>
      <c r="DK40" s="262"/>
      <c r="DL40" s="262"/>
      <c r="DM40" s="262"/>
      <c r="DN40" s="262"/>
      <c r="DO40" s="262"/>
      <c r="DP40" s="262"/>
      <c r="DQ40" s="262"/>
      <c r="DR40" s="262"/>
      <c r="DS40" s="262"/>
      <c r="DT40" s="262"/>
      <c r="DU40" s="262"/>
      <c r="DV40" s="262"/>
      <c r="DW40" s="262"/>
      <c r="DX40" s="262"/>
      <c r="DY40" s="262"/>
      <c r="DZ40" s="262"/>
      <c r="EA40" s="262"/>
      <c r="EB40" s="262"/>
      <c r="EC40" s="262"/>
      <c r="ED40" s="262"/>
      <c r="EE40" s="262"/>
      <c r="EF40" s="262"/>
    </row>
    <row r="41" spans="1:136" s="239" customFormat="1" ht="18" customHeight="1">
      <c r="A41" s="986"/>
      <c r="B41" s="986"/>
      <c r="C41" s="987" t="str">
        <f>IF('Project Information'!F12=2,"Tier 2 WNCF Bonus Form","")</f>
        <v/>
      </c>
      <c r="D41" s="987"/>
      <c r="E41" s="987"/>
      <c r="F41" s="987"/>
      <c r="G41" s="987"/>
      <c r="H41" s="987"/>
      <c r="I41" s="987"/>
      <c r="J41" s="987"/>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1103" t="str">
        <f>IF('Work Scope'!AD71="","",'Work Scope'!D71)</f>
        <v/>
      </c>
      <c r="AI41" s="1103"/>
      <c r="AJ41" s="1103"/>
      <c r="AK41" s="1103"/>
      <c r="AL41" s="1103"/>
      <c r="AM41" s="1103"/>
      <c r="AN41" s="1103"/>
      <c r="AO41" s="1103"/>
      <c r="AP41" s="1103"/>
      <c r="AQ41" s="1103"/>
      <c r="AR41" s="1103"/>
      <c r="AS41" s="1103"/>
      <c r="AT41" s="1103"/>
      <c r="AU41" s="1103"/>
      <c r="AV41" s="1103"/>
      <c r="AW41" s="1104" t="str">
        <f>IF('Work Scope'!AD71="","",'Work Scope'!AB71)</f>
        <v/>
      </c>
      <c r="AX41" s="1105"/>
      <c r="AY41" s="982" t="str">
        <f>IF('Work Scope'!AD71="","",'Work Scope'!B71)</f>
        <v/>
      </c>
      <c r="AZ41" s="982"/>
      <c r="BA41" s="1106" t="str">
        <f>IF('Work Scope'!AD71="","",'Work Scope'!AD71)</f>
        <v/>
      </c>
      <c r="BB41" s="1107"/>
      <c r="BC41" s="1107"/>
      <c r="BD41" s="1108"/>
      <c r="BE41" s="1109" t="str">
        <f>IF('Work Scope'!AD71="","",'Work Scope'!AH71/AW41)</f>
        <v/>
      </c>
      <c r="BF41" s="1109"/>
      <c r="BG41" s="1109"/>
      <c r="BH41" s="1109"/>
      <c r="BI41" s="262"/>
      <c r="BJ41" s="262"/>
      <c r="BK41" s="262"/>
      <c r="BL41" s="262"/>
      <c r="BM41" s="262"/>
      <c r="BN41" s="262"/>
      <c r="BO41" s="262"/>
      <c r="BP41" s="262"/>
      <c r="BQ41" s="262"/>
      <c r="BR41" s="262"/>
      <c r="BS41" s="262"/>
      <c r="BT41" s="262"/>
      <c r="BU41" s="262"/>
      <c r="BV41" s="262"/>
      <c r="BW41" s="262"/>
      <c r="BX41" s="262"/>
      <c r="BY41" s="262"/>
      <c r="BZ41" s="262"/>
      <c r="CA41" s="262"/>
      <c r="CB41" s="262"/>
      <c r="CC41" s="262"/>
      <c r="CD41" s="262"/>
      <c r="CE41" s="262"/>
      <c r="CF41" s="262"/>
      <c r="CG41" s="262"/>
      <c r="CH41" s="262"/>
      <c r="CI41" s="262"/>
      <c r="CJ41" s="262"/>
      <c r="CK41" s="262"/>
      <c r="CL41" s="262"/>
      <c r="CM41" s="262"/>
      <c r="CN41" s="262"/>
      <c r="CO41" s="262"/>
      <c r="CP41" s="262"/>
      <c r="CQ41" s="262"/>
      <c r="CR41" s="262"/>
      <c r="CS41" s="262"/>
      <c r="CT41" s="262"/>
      <c r="CU41" s="262"/>
      <c r="CV41" s="262"/>
      <c r="CW41" s="262"/>
      <c r="CX41" s="262"/>
      <c r="CY41" s="262"/>
      <c r="CZ41" s="262"/>
      <c r="DA41" s="262"/>
      <c r="DB41" s="262"/>
      <c r="DC41" s="262"/>
      <c r="DD41" s="262"/>
      <c r="DE41" s="262"/>
      <c r="DF41" s="262"/>
      <c r="DG41" s="262"/>
      <c r="DH41" s="262"/>
      <c r="DI41" s="262"/>
      <c r="DJ41" s="262"/>
      <c r="DK41" s="262"/>
      <c r="DL41" s="262"/>
      <c r="DM41" s="262"/>
      <c r="DN41" s="262"/>
      <c r="DO41" s="262"/>
      <c r="DP41" s="262"/>
      <c r="DQ41" s="262"/>
      <c r="DR41" s="262"/>
      <c r="DS41" s="262"/>
      <c r="DT41" s="262"/>
      <c r="DU41" s="262"/>
      <c r="DV41" s="262"/>
      <c r="DW41" s="262"/>
      <c r="DX41" s="262"/>
      <c r="DY41" s="262"/>
      <c r="DZ41" s="262"/>
      <c r="EA41" s="262"/>
      <c r="EB41" s="262"/>
      <c r="EC41" s="262"/>
      <c r="ED41" s="262"/>
      <c r="EE41" s="262"/>
      <c r="EF41" s="262"/>
    </row>
    <row r="42" spans="1:136" s="239" customFormat="1" ht="18" customHeight="1">
      <c r="A42" s="263" t="s">
        <v>501</v>
      </c>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1095" t="str">
        <f>IF('Work Scope'!AD72="","",'Work Scope'!D72)</f>
        <v/>
      </c>
      <c r="AI42" s="1095"/>
      <c r="AJ42" s="1095"/>
      <c r="AK42" s="1095"/>
      <c r="AL42" s="1095"/>
      <c r="AM42" s="1095"/>
      <c r="AN42" s="1095"/>
      <c r="AO42" s="1095"/>
      <c r="AP42" s="1095"/>
      <c r="AQ42" s="1095"/>
      <c r="AR42" s="1095"/>
      <c r="AS42" s="1095"/>
      <c r="AT42" s="1095"/>
      <c r="AU42" s="1095"/>
      <c r="AV42" s="1095"/>
      <c r="AW42" s="1096" t="str">
        <f>IF('Work Scope'!AD72="","",'Work Scope'!AB72)</f>
        <v/>
      </c>
      <c r="AX42" s="1097"/>
      <c r="AY42" s="1098" t="str">
        <f>IF('Work Scope'!AD72="","",'Work Scope'!B72)</f>
        <v/>
      </c>
      <c r="AZ42" s="1098"/>
      <c r="BA42" s="1099" t="str">
        <f>IF('Work Scope'!AD72="","",'Work Scope'!AD72)</f>
        <v/>
      </c>
      <c r="BB42" s="1100"/>
      <c r="BC42" s="1100"/>
      <c r="BD42" s="1101"/>
      <c r="BE42" s="1102" t="str">
        <f>IF('Work Scope'!AD72="","",'Work Scope'!AH72/AW42)</f>
        <v/>
      </c>
      <c r="BF42" s="1102"/>
      <c r="BG42" s="1102"/>
      <c r="BH42" s="110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c r="DV42" s="262"/>
      <c r="DW42" s="262"/>
      <c r="DX42" s="262"/>
      <c r="DY42" s="262"/>
      <c r="DZ42" s="262"/>
      <c r="EA42" s="262"/>
      <c r="EB42" s="262"/>
      <c r="EC42" s="262"/>
      <c r="ED42" s="262"/>
      <c r="EE42" s="262"/>
      <c r="EF42" s="262"/>
    </row>
    <row r="43" spans="1:136" s="239" customFormat="1" ht="18" customHeight="1">
      <c r="A43" s="988" t="s">
        <v>502</v>
      </c>
      <c r="B43" s="988"/>
      <c r="C43" s="988"/>
      <c r="D43" s="988"/>
      <c r="E43" s="988"/>
      <c r="F43" s="988"/>
      <c r="G43" s="988"/>
      <c r="H43" s="1022"/>
      <c r="I43" s="992"/>
      <c r="J43" s="992"/>
      <c r="K43" s="992"/>
      <c r="L43" s="992"/>
      <c r="M43" s="264"/>
      <c r="N43" s="264"/>
      <c r="O43" s="264"/>
      <c r="P43" s="264"/>
      <c r="Q43" s="262"/>
      <c r="R43" s="262"/>
      <c r="S43" s="262"/>
      <c r="T43" s="262"/>
      <c r="U43" s="262"/>
      <c r="V43" s="262"/>
      <c r="W43" s="262"/>
      <c r="X43" s="262"/>
      <c r="Y43" s="262"/>
      <c r="Z43" s="262"/>
      <c r="AA43" s="262"/>
      <c r="AB43" s="262"/>
      <c r="AC43" s="262"/>
      <c r="AD43" s="262"/>
      <c r="AE43" s="262"/>
      <c r="AF43" s="262"/>
      <c r="AG43" s="262"/>
      <c r="AH43" s="1103" t="str">
        <f>IF('Work Scope'!AD73="","",'Work Scope'!D73)</f>
        <v/>
      </c>
      <c r="AI43" s="1103"/>
      <c r="AJ43" s="1103"/>
      <c r="AK43" s="1103"/>
      <c r="AL43" s="1103"/>
      <c r="AM43" s="1103"/>
      <c r="AN43" s="1103"/>
      <c r="AO43" s="1103"/>
      <c r="AP43" s="1103"/>
      <c r="AQ43" s="1103"/>
      <c r="AR43" s="1103"/>
      <c r="AS43" s="1103"/>
      <c r="AT43" s="1103"/>
      <c r="AU43" s="1103"/>
      <c r="AV43" s="1103"/>
      <c r="AW43" s="1104" t="str">
        <f>IF('Work Scope'!AD73="","",'Work Scope'!AB73)</f>
        <v/>
      </c>
      <c r="AX43" s="1105"/>
      <c r="AY43" s="982" t="str">
        <f>IF('Work Scope'!AD73="","",'Work Scope'!B73)</f>
        <v/>
      </c>
      <c r="AZ43" s="982"/>
      <c r="BA43" s="1106" t="str">
        <f>IF('Work Scope'!AD73="","",'Work Scope'!AD73)</f>
        <v/>
      </c>
      <c r="BB43" s="1107"/>
      <c r="BC43" s="1107"/>
      <c r="BD43" s="1108"/>
      <c r="BE43" s="1109" t="str">
        <f>IF('Work Scope'!AD73="","",'Work Scope'!AH73/AW43)</f>
        <v/>
      </c>
      <c r="BF43" s="1109"/>
      <c r="BG43" s="1109"/>
      <c r="BH43" s="1109"/>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c r="DM43" s="262"/>
      <c r="DN43" s="262"/>
      <c r="DO43" s="262"/>
      <c r="DP43" s="262"/>
      <c r="DQ43" s="262"/>
      <c r="DR43" s="262"/>
      <c r="DS43" s="262"/>
      <c r="DT43" s="262"/>
      <c r="DU43" s="262"/>
      <c r="DV43" s="262"/>
      <c r="DW43" s="262"/>
      <c r="DX43" s="262"/>
      <c r="DY43" s="262"/>
      <c r="DZ43" s="262"/>
      <c r="EA43" s="262"/>
      <c r="EB43" s="262"/>
      <c r="EC43" s="262"/>
      <c r="ED43" s="262"/>
      <c r="EE43" s="262"/>
      <c r="EF43" s="262"/>
    </row>
    <row r="44" spans="1:136" s="239" customFormat="1" ht="18" customHeight="1">
      <c r="A44" s="988" t="s">
        <v>503</v>
      </c>
      <c r="B44" s="988"/>
      <c r="C44" s="988"/>
      <c r="D44" s="988"/>
      <c r="E44" s="988"/>
      <c r="F44" s="988"/>
      <c r="G44" s="988"/>
      <c r="H44" s="991"/>
      <c r="I44" s="992"/>
      <c r="J44" s="992"/>
      <c r="K44" s="992"/>
      <c r="L44" s="992"/>
      <c r="M44" s="264"/>
      <c r="N44" s="264"/>
      <c r="O44" s="264"/>
      <c r="P44" s="264"/>
      <c r="Q44" s="262"/>
      <c r="R44" s="262"/>
      <c r="S44" s="262"/>
      <c r="T44" s="262"/>
      <c r="U44" s="262"/>
      <c r="V44" s="262"/>
      <c r="W44" s="262"/>
      <c r="X44" s="262"/>
      <c r="Y44" s="262"/>
      <c r="Z44" s="262"/>
      <c r="AA44" s="262"/>
      <c r="AB44" s="262"/>
      <c r="AC44" s="262"/>
      <c r="AD44" s="262"/>
      <c r="AE44" s="262"/>
      <c r="AF44" s="262"/>
      <c r="AG44" s="262"/>
      <c r="AH44" s="1095" t="str">
        <f>IF('Work Scope'!AD74="","",'Work Scope'!D74)</f>
        <v/>
      </c>
      <c r="AI44" s="1095"/>
      <c r="AJ44" s="1095"/>
      <c r="AK44" s="1095"/>
      <c r="AL44" s="1095"/>
      <c r="AM44" s="1095"/>
      <c r="AN44" s="1095"/>
      <c r="AO44" s="1095"/>
      <c r="AP44" s="1095"/>
      <c r="AQ44" s="1095"/>
      <c r="AR44" s="1095"/>
      <c r="AS44" s="1095"/>
      <c r="AT44" s="1095"/>
      <c r="AU44" s="1095"/>
      <c r="AV44" s="1095"/>
      <c r="AW44" s="1096" t="str">
        <f>IF('Work Scope'!AD74="","",'Work Scope'!AB74)</f>
        <v/>
      </c>
      <c r="AX44" s="1097"/>
      <c r="AY44" s="1098" t="str">
        <f>IF('Work Scope'!AD74="","",'Work Scope'!B74)</f>
        <v/>
      </c>
      <c r="AZ44" s="1098"/>
      <c r="BA44" s="1099" t="str">
        <f>IF('Work Scope'!AD74="","",'Work Scope'!AD74)</f>
        <v/>
      </c>
      <c r="BB44" s="1100"/>
      <c r="BC44" s="1100"/>
      <c r="BD44" s="1101"/>
      <c r="BE44" s="1102" t="str">
        <f>IF('Work Scope'!AD74="","",'Work Scope'!AH74/AW44)</f>
        <v/>
      </c>
      <c r="BF44" s="1102"/>
      <c r="BG44" s="1102"/>
      <c r="BH44" s="1102"/>
      <c r="BI44" s="262"/>
      <c r="BJ44" s="262"/>
      <c r="BK44" s="262"/>
      <c r="BL44" s="262"/>
      <c r="BM44" s="262"/>
      <c r="BN44" s="262"/>
      <c r="BO44" s="262"/>
      <c r="BP44" s="262"/>
      <c r="BQ44" s="262"/>
      <c r="BR44" s="262"/>
      <c r="BS44" s="262"/>
      <c r="BT44" s="262"/>
      <c r="BU44" s="262"/>
      <c r="BV44" s="262"/>
      <c r="BW44" s="262"/>
      <c r="BX44" s="262"/>
      <c r="BY44" s="262"/>
      <c r="BZ44" s="262"/>
      <c r="CA44" s="262"/>
      <c r="CB44" s="262"/>
      <c r="CC44" s="262"/>
      <c r="CD44" s="262"/>
      <c r="CE44" s="262"/>
      <c r="CF44" s="262"/>
      <c r="CG44" s="262"/>
      <c r="CH44" s="262"/>
      <c r="CI44" s="262"/>
      <c r="CJ44" s="262"/>
      <c r="CK44" s="262"/>
      <c r="CL44" s="262"/>
      <c r="CM44" s="262"/>
      <c r="CN44" s="262"/>
      <c r="CO44" s="262"/>
      <c r="CP44" s="262"/>
      <c r="CQ44" s="262"/>
      <c r="CR44" s="262"/>
      <c r="CS44" s="262"/>
      <c r="CT44" s="262"/>
      <c r="CU44" s="262"/>
      <c r="CV44" s="262"/>
      <c r="CW44" s="262"/>
      <c r="CX44" s="262"/>
      <c r="CY44" s="262"/>
      <c r="CZ44" s="262"/>
      <c r="DA44" s="262"/>
      <c r="DB44" s="262"/>
      <c r="DC44" s="262"/>
      <c r="DD44" s="262"/>
      <c r="DE44" s="262"/>
      <c r="DF44" s="262"/>
      <c r="DG44" s="262"/>
      <c r="DH44" s="262"/>
      <c r="DI44" s="262"/>
      <c r="DJ44" s="262"/>
      <c r="DK44" s="262"/>
      <c r="DL44" s="262"/>
      <c r="DM44" s="262"/>
      <c r="DN44" s="262"/>
      <c r="DO44" s="262"/>
      <c r="DP44" s="262"/>
      <c r="DQ44" s="262"/>
      <c r="DR44" s="262"/>
      <c r="DS44" s="262"/>
      <c r="DT44" s="262"/>
      <c r="DU44" s="262"/>
      <c r="DV44" s="262"/>
      <c r="DW44" s="262"/>
      <c r="DX44" s="262"/>
      <c r="DY44" s="262"/>
      <c r="DZ44" s="262"/>
      <c r="EA44" s="262"/>
      <c r="EB44" s="262"/>
      <c r="EC44" s="262"/>
      <c r="ED44" s="262"/>
      <c r="EE44" s="262"/>
      <c r="EF44" s="262"/>
    </row>
    <row r="45" spans="1:136" s="239" customFormat="1" ht="18" customHeight="1">
      <c r="A45" s="988" t="s">
        <v>504</v>
      </c>
      <c r="B45" s="988"/>
      <c r="C45" s="988"/>
      <c r="D45" s="988"/>
      <c r="E45" s="988"/>
      <c r="F45" s="988"/>
      <c r="G45" s="988"/>
      <c r="H45" s="989" t="e">
        <f>'Work Scope'!AK84/(H43+(H44*'Project Score'!J20))</f>
        <v>#DIV/0!</v>
      </c>
      <c r="I45" s="990"/>
      <c r="J45" s="990"/>
      <c r="K45" s="990"/>
      <c r="L45" s="990"/>
      <c r="M45" s="264"/>
      <c r="N45" s="264"/>
      <c r="O45" s="264"/>
      <c r="P45" s="264"/>
      <c r="Q45" s="262"/>
      <c r="R45" s="262"/>
      <c r="S45" s="262"/>
      <c r="T45" s="262"/>
      <c r="U45" s="262"/>
      <c r="V45" s="262"/>
      <c r="W45" s="262"/>
      <c r="X45" s="262"/>
      <c r="Y45" s="262"/>
      <c r="Z45" s="262"/>
      <c r="AA45" s="262"/>
      <c r="AB45" s="262"/>
      <c r="AC45" s="262"/>
      <c r="AD45" s="262"/>
      <c r="AE45" s="262"/>
      <c r="AF45" s="262"/>
      <c r="AG45" s="262"/>
      <c r="AH45" s="1103" t="str">
        <f>IF('Work Scope'!AD75="","",'Work Scope'!D75)</f>
        <v/>
      </c>
      <c r="AI45" s="1103"/>
      <c r="AJ45" s="1103"/>
      <c r="AK45" s="1103"/>
      <c r="AL45" s="1103"/>
      <c r="AM45" s="1103"/>
      <c r="AN45" s="1103"/>
      <c r="AO45" s="1103"/>
      <c r="AP45" s="1103"/>
      <c r="AQ45" s="1103"/>
      <c r="AR45" s="1103"/>
      <c r="AS45" s="1103"/>
      <c r="AT45" s="1103"/>
      <c r="AU45" s="1103"/>
      <c r="AV45" s="1103"/>
      <c r="AW45" s="1104" t="str">
        <f>IF('Work Scope'!AD75="","",'Work Scope'!AB75)</f>
        <v/>
      </c>
      <c r="AX45" s="1105"/>
      <c r="AY45" s="982" t="str">
        <f>IF('Work Scope'!AD75="","",'Work Scope'!B75)</f>
        <v/>
      </c>
      <c r="AZ45" s="982"/>
      <c r="BA45" s="1106" t="str">
        <f>IF('Work Scope'!AD75="","",'Work Scope'!AD75)</f>
        <v/>
      </c>
      <c r="BB45" s="1107"/>
      <c r="BC45" s="1107"/>
      <c r="BD45" s="1108"/>
      <c r="BE45" s="1109" t="str">
        <f>IF('Work Scope'!AD75="","",'Work Scope'!AH75/AW45)</f>
        <v/>
      </c>
      <c r="BF45" s="1109"/>
      <c r="BG45" s="1109"/>
      <c r="BH45" s="1109"/>
      <c r="BI45" s="262"/>
      <c r="BJ45" s="262"/>
      <c r="BK45" s="262"/>
      <c r="BL45" s="262"/>
      <c r="BM45" s="262"/>
      <c r="BN45" s="262"/>
      <c r="BO45" s="262"/>
      <c r="BP45" s="262"/>
      <c r="BQ45" s="262"/>
      <c r="BR45" s="262"/>
      <c r="BS45" s="262"/>
      <c r="BT45" s="262"/>
      <c r="BU45" s="262"/>
      <c r="BV45" s="262"/>
      <c r="BW45" s="262"/>
      <c r="BX45" s="262"/>
      <c r="BY45" s="262"/>
      <c r="BZ45" s="262"/>
      <c r="CA45" s="262"/>
      <c r="CB45" s="262"/>
      <c r="CC45" s="262"/>
      <c r="CD45" s="262"/>
      <c r="CE45" s="262"/>
      <c r="CF45" s="262"/>
      <c r="CG45" s="262"/>
      <c r="CH45" s="262"/>
      <c r="CI45" s="262"/>
      <c r="CJ45" s="262"/>
      <c r="CK45" s="262"/>
      <c r="CL45" s="262"/>
      <c r="CM45" s="262"/>
      <c r="CN45" s="262"/>
      <c r="CO45" s="262"/>
      <c r="CP45" s="262"/>
      <c r="CQ45" s="262"/>
      <c r="CR45" s="262"/>
      <c r="CS45" s="262"/>
      <c r="CT45" s="262"/>
      <c r="CU45" s="262"/>
      <c r="CV45" s="262"/>
      <c r="CW45" s="262"/>
      <c r="CX45" s="262"/>
      <c r="CY45" s="262"/>
      <c r="CZ45" s="262"/>
      <c r="DA45" s="262"/>
      <c r="DB45" s="262"/>
      <c r="DC45" s="262"/>
      <c r="DD45" s="262"/>
      <c r="DE45" s="262"/>
      <c r="DF45" s="262"/>
      <c r="DG45" s="262"/>
      <c r="DH45" s="262"/>
      <c r="DI45" s="262"/>
      <c r="DJ45" s="262"/>
      <c r="DK45" s="262"/>
      <c r="DL45" s="262"/>
      <c r="DM45" s="262"/>
      <c r="DN45" s="262"/>
      <c r="DO45" s="262"/>
      <c r="DP45" s="262"/>
      <c r="DQ45" s="262"/>
      <c r="DR45" s="262"/>
      <c r="DS45" s="262"/>
      <c r="DT45" s="262"/>
      <c r="DU45" s="262"/>
      <c r="DV45" s="262"/>
      <c r="DW45" s="262"/>
      <c r="DX45" s="262"/>
      <c r="DY45" s="262"/>
      <c r="DZ45" s="262"/>
      <c r="EA45" s="262"/>
      <c r="EB45" s="262"/>
      <c r="EC45" s="262"/>
      <c r="ED45" s="262"/>
      <c r="EE45" s="262"/>
      <c r="EF45" s="262"/>
    </row>
    <row r="46" spans="1:136" s="239" customFormat="1" ht="18" customHeight="1">
      <c r="A46" s="982"/>
      <c r="B46" s="982"/>
      <c r="C46" s="982"/>
      <c r="D46" s="982"/>
      <c r="E46" s="982"/>
      <c r="F46" s="982"/>
      <c r="G46" s="982"/>
      <c r="H46" s="982"/>
      <c r="I46" s="982"/>
      <c r="J46" s="982"/>
      <c r="K46" s="982"/>
      <c r="L46" s="982"/>
      <c r="M46" s="982"/>
      <c r="N46" s="982"/>
      <c r="O46" s="982"/>
      <c r="P46" s="982"/>
      <c r="Q46" s="982"/>
      <c r="R46" s="982"/>
      <c r="S46" s="982"/>
      <c r="T46" s="982"/>
      <c r="U46" s="982"/>
      <c r="V46" s="982"/>
      <c r="W46" s="982"/>
      <c r="X46" s="982"/>
      <c r="Y46" s="982"/>
      <c r="Z46" s="982"/>
      <c r="AA46" s="982"/>
      <c r="AB46" s="982"/>
      <c r="AC46" s="982"/>
      <c r="AD46" s="982"/>
      <c r="AE46" s="982"/>
      <c r="AF46" s="982"/>
      <c r="AG46" s="262"/>
      <c r="AH46" s="1095" t="str">
        <f>IF('Work Scope'!AD76="","",'Work Scope'!D76)</f>
        <v/>
      </c>
      <c r="AI46" s="1095"/>
      <c r="AJ46" s="1095"/>
      <c r="AK46" s="1095"/>
      <c r="AL46" s="1095"/>
      <c r="AM46" s="1095"/>
      <c r="AN46" s="1095"/>
      <c r="AO46" s="1095"/>
      <c r="AP46" s="1095"/>
      <c r="AQ46" s="1095"/>
      <c r="AR46" s="1095"/>
      <c r="AS46" s="1095"/>
      <c r="AT46" s="1095"/>
      <c r="AU46" s="1095"/>
      <c r="AV46" s="1095"/>
      <c r="AW46" s="1096" t="str">
        <f>IF('Work Scope'!AD76="","",'Work Scope'!AB76)</f>
        <v/>
      </c>
      <c r="AX46" s="1097"/>
      <c r="AY46" s="1098" t="str">
        <f>IF('Work Scope'!AD76="","",'Work Scope'!B76)</f>
        <v/>
      </c>
      <c r="AZ46" s="1098"/>
      <c r="BA46" s="1099" t="str">
        <f>IF('Work Scope'!AD76="","",'Work Scope'!AD76)</f>
        <v/>
      </c>
      <c r="BB46" s="1100"/>
      <c r="BC46" s="1100"/>
      <c r="BD46" s="1101"/>
      <c r="BE46" s="1102" t="str">
        <f>IF('Work Scope'!AD76="","",'Work Scope'!AH76/AW46)</f>
        <v/>
      </c>
      <c r="BF46" s="1102"/>
      <c r="BG46" s="1102"/>
      <c r="BH46" s="1102"/>
      <c r="BI46" s="262"/>
      <c r="BJ46" s="262"/>
      <c r="BK46" s="262"/>
      <c r="BL46" s="262"/>
      <c r="BM46" s="262"/>
      <c r="BN46" s="262"/>
      <c r="BO46" s="262"/>
      <c r="BP46" s="262"/>
      <c r="BQ46" s="262"/>
      <c r="BR46" s="262"/>
      <c r="BS46" s="262"/>
      <c r="BT46" s="262"/>
      <c r="BU46" s="262"/>
      <c r="BV46" s="262"/>
      <c r="BW46" s="262"/>
      <c r="BX46" s="262"/>
      <c r="BY46" s="262"/>
      <c r="BZ46" s="262"/>
      <c r="CA46" s="262"/>
      <c r="CB46" s="262"/>
      <c r="CC46" s="262"/>
      <c r="CD46" s="262"/>
      <c r="CE46" s="262"/>
      <c r="CF46" s="262"/>
      <c r="CG46" s="262"/>
      <c r="CH46" s="262"/>
      <c r="CI46" s="262"/>
      <c r="CJ46" s="262"/>
      <c r="CK46" s="262"/>
      <c r="CL46" s="262"/>
      <c r="CM46" s="262"/>
      <c r="CN46" s="262"/>
      <c r="CO46" s="262"/>
      <c r="CP46" s="262"/>
      <c r="CQ46" s="262"/>
      <c r="CR46" s="262"/>
      <c r="CS46" s="262"/>
      <c r="CT46" s="262"/>
      <c r="CU46" s="262"/>
      <c r="CV46" s="262"/>
      <c r="CW46" s="262"/>
      <c r="CX46" s="262"/>
      <c r="CY46" s="262"/>
      <c r="CZ46" s="262"/>
      <c r="DA46" s="262"/>
      <c r="DB46" s="262"/>
      <c r="DC46" s="262"/>
      <c r="DD46" s="262"/>
      <c r="DE46" s="262"/>
      <c r="DF46" s="262"/>
      <c r="DG46" s="262"/>
      <c r="DH46" s="262"/>
      <c r="DI46" s="262"/>
      <c r="DJ46" s="262"/>
      <c r="DK46" s="262"/>
      <c r="DL46" s="262"/>
      <c r="DM46" s="262"/>
      <c r="DN46" s="262"/>
      <c r="DO46" s="262"/>
      <c r="DP46" s="262"/>
      <c r="DQ46" s="262"/>
      <c r="DR46" s="262"/>
      <c r="DS46" s="262"/>
      <c r="DT46" s="262"/>
      <c r="DU46" s="262"/>
      <c r="DV46" s="262"/>
      <c r="DW46" s="262"/>
      <c r="DX46" s="262"/>
      <c r="DY46" s="262"/>
      <c r="DZ46" s="262"/>
      <c r="EA46" s="262"/>
      <c r="EB46" s="262"/>
      <c r="EC46" s="262"/>
      <c r="ED46" s="262"/>
      <c r="EE46" s="262"/>
      <c r="EF46" s="262"/>
    </row>
    <row r="47" spans="1:136" s="2" customFormat="1" ht="18" customHeight="1">
      <c r="A47" s="979" t="s">
        <v>527</v>
      </c>
      <c r="B47" s="979"/>
      <c r="C47" s="979"/>
      <c r="D47" s="979"/>
      <c r="E47" s="979"/>
      <c r="F47" s="979"/>
      <c r="G47" s="979"/>
      <c r="H47" s="979"/>
      <c r="I47" s="979"/>
      <c r="J47" s="979"/>
      <c r="K47" s="979"/>
      <c r="L47" s="979"/>
      <c r="M47" s="979"/>
      <c r="N47" s="979"/>
      <c r="O47" s="979"/>
      <c r="P47" s="979"/>
      <c r="Q47" s="979"/>
      <c r="R47" s="979"/>
      <c r="S47" s="979"/>
      <c r="T47" s="979"/>
      <c r="U47" s="979"/>
      <c r="V47" s="979"/>
      <c r="W47" s="979"/>
      <c r="X47" s="979"/>
      <c r="Y47" s="979"/>
      <c r="Z47" s="979"/>
      <c r="AA47" s="979"/>
      <c r="AB47" s="979"/>
      <c r="AC47" s="979"/>
      <c r="AD47" s="979"/>
      <c r="AE47" s="979"/>
      <c r="AF47" s="979"/>
      <c r="AG47" s="221"/>
      <c r="AH47" s="1002" t="str">
        <f>IF('Work Scope'!AD77="","",'Work Scope'!D77)</f>
        <v/>
      </c>
      <c r="AI47" s="1002"/>
      <c r="AJ47" s="1002"/>
      <c r="AK47" s="1002"/>
      <c r="AL47" s="1002"/>
      <c r="AM47" s="1002"/>
      <c r="AN47" s="1002"/>
      <c r="AO47" s="1002"/>
      <c r="AP47" s="1002"/>
      <c r="AQ47" s="1002"/>
      <c r="AR47" s="1002"/>
      <c r="AS47" s="1002"/>
      <c r="AT47" s="1002"/>
      <c r="AU47" s="1002"/>
      <c r="AV47" s="1002"/>
      <c r="AW47" s="1091" t="str">
        <f>IF('Work Scope'!AD77="","",'Work Scope'!AB77)</f>
        <v/>
      </c>
      <c r="AX47" s="1092"/>
      <c r="AY47" s="1059" t="str">
        <f>IF('Work Scope'!AD77="","",'Work Scope'!B77)</f>
        <v/>
      </c>
      <c r="AZ47" s="1059"/>
      <c r="BA47" s="1038" t="str">
        <f>IF('Work Scope'!AD77="","",'Work Scope'!AD77)</f>
        <v/>
      </c>
      <c r="BB47" s="1039"/>
      <c r="BC47" s="1039"/>
      <c r="BD47" s="1040"/>
      <c r="BE47" s="1086" t="str">
        <f>IF('Work Scope'!AD77="","",'Work Scope'!AH77/AW47)</f>
        <v/>
      </c>
      <c r="BF47" s="1086"/>
      <c r="BG47" s="1086"/>
      <c r="BH47" s="1086"/>
      <c r="BI47" s="221"/>
      <c r="BJ47" s="221"/>
      <c r="BK47" s="221"/>
      <c r="BL47" s="221"/>
      <c r="BM47" s="221"/>
      <c r="BN47" s="221"/>
      <c r="BO47" s="221"/>
      <c r="BP47" s="221"/>
      <c r="BQ47" s="221"/>
      <c r="BR47" s="221"/>
      <c r="BS47" s="221"/>
      <c r="BT47" s="221"/>
      <c r="BU47" s="221"/>
      <c r="BV47" s="221"/>
      <c r="BW47" s="221"/>
      <c r="BX47" s="221"/>
      <c r="BY47" s="221"/>
      <c r="BZ47" s="221"/>
      <c r="CA47" s="221"/>
      <c r="CB47" s="221"/>
      <c r="CC47" s="221"/>
      <c r="CD47" s="221"/>
      <c r="CE47" s="221"/>
      <c r="CF47" s="221"/>
      <c r="CG47" s="221"/>
      <c r="CH47" s="221"/>
      <c r="CI47" s="221"/>
      <c r="CJ47" s="221"/>
      <c r="CK47" s="221"/>
      <c r="CL47" s="221"/>
      <c r="CM47" s="221"/>
      <c r="CN47" s="221"/>
      <c r="CO47" s="221"/>
      <c r="CP47" s="221"/>
      <c r="CQ47" s="221"/>
      <c r="CR47" s="221"/>
      <c r="CS47" s="221"/>
      <c r="CT47" s="221"/>
      <c r="CU47" s="221"/>
      <c r="CV47" s="221"/>
      <c r="CW47" s="221"/>
      <c r="CX47" s="221"/>
      <c r="CY47" s="221"/>
      <c r="CZ47" s="221"/>
      <c r="DA47" s="221"/>
      <c r="DB47" s="221"/>
      <c r="DC47" s="221"/>
      <c r="DD47" s="221"/>
      <c r="DE47" s="221"/>
      <c r="DF47" s="221"/>
      <c r="DG47" s="221"/>
      <c r="DH47" s="221"/>
      <c r="DI47" s="221"/>
      <c r="DJ47" s="221"/>
      <c r="DK47" s="221"/>
      <c r="DL47" s="221"/>
      <c r="DM47" s="221"/>
      <c r="DN47" s="221"/>
      <c r="DO47" s="221"/>
      <c r="DP47" s="221"/>
      <c r="DQ47" s="221"/>
      <c r="DR47" s="221"/>
      <c r="DS47" s="221"/>
      <c r="DT47" s="221"/>
      <c r="DU47" s="221"/>
      <c r="DV47" s="221"/>
      <c r="DW47" s="221"/>
      <c r="DX47" s="221"/>
      <c r="DY47" s="221"/>
      <c r="DZ47" s="221"/>
      <c r="EA47" s="221"/>
      <c r="EB47" s="221"/>
      <c r="EC47" s="221"/>
      <c r="ED47" s="221"/>
      <c r="EE47" s="221"/>
      <c r="EF47" s="221"/>
    </row>
    <row r="48" spans="1:136" s="2" customFormat="1" ht="18" customHeight="1" thickBot="1">
      <c r="A48" s="983"/>
      <c r="B48" s="983"/>
      <c r="C48" s="983"/>
      <c r="D48" s="983"/>
      <c r="E48" s="983"/>
      <c r="F48" s="983"/>
      <c r="G48" s="983"/>
      <c r="H48" s="983"/>
      <c r="I48" s="983"/>
      <c r="J48" s="983"/>
      <c r="K48" s="983"/>
      <c r="L48" s="983"/>
      <c r="M48" s="983"/>
      <c r="N48" s="983"/>
      <c r="O48" s="983"/>
      <c r="P48" s="983"/>
      <c r="Q48" s="983"/>
      <c r="R48" s="983"/>
      <c r="S48" s="983"/>
      <c r="T48" s="983"/>
      <c r="U48" s="983"/>
      <c r="V48" s="983"/>
      <c r="W48" s="983"/>
      <c r="X48" s="983"/>
      <c r="Y48" s="983"/>
      <c r="Z48" s="983"/>
      <c r="AA48" s="983"/>
      <c r="AB48" s="983"/>
      <c r="AC48" s="983"/>
      <c r="AD48" s="983"/>
      <c r="AE48" s="983"/>
      <c r="AF48" s="983"/>
      <c r="AG48" s="221"/>
      <c r="AH48" s="1017" t="str">
        <f>IF('Work Scope'!AD78="","",'Work Scope'!D78)</f>
        <v/>
      </c>
      <c r="AI48" s="1017"/>
      <c r="AJ48" s="1017"/>
      <c r="AK48" s="1017"/>
      <c r="AL48" s="1017"/>
      <c r="AM48" s="1017"/>
      <c r="AN48" s="1017"/>
      <c r="AO48" s="1017"/>
      <c r="AP48" s="1017"/>
      <c r="AQ48" s="1017"/>
      <c r="AR48" s="1017"/>
      <c r="AS48" s="1017"/>
      <c r="AT48" s="1017"/>
      <c r="AU48" s="1017"/>
      <c r="AV48" s="1017"/>
      <c r="AW48" s="1087" t="str">
        <f>IF('Work Scope'!AD78="","",'Work Scope'!AB78)</f>
        <v/>
      </c>
      <c r="AX48" s="1088"/>
      <c r="AY48" s="1089" t="str">
        <f>IF('Work Scope'!AD78="","",'Work Scope'!B78)</f>
        <v/>
      </c>
      <c r="AZ48" s="1089"/>
      <c r="BA48" s="996" t="str">
        <f>IF('Work Scope'!AD78="","",'Work Scope'!AD78)</f>
        <v/>
      </c>
      <c r="BB48" s="997"/>
      <c r="BC48" s="997"/>
      <c r="BD48" s="1110"/>
      <c r="BE48" s="1090" t="str">
        <f>IF('Work Scope'!AD78="","",'Work Scope'!AH78/AW48)</f>
        <v/>
      </c>
      <c r="BF48" s="1090"/>
      <c r="BG48" s="1090"/>
      <c r="BH48" s="1090"/>
      <c r="BI48" s="221"/>
      <c r="BJ48" s="221"/>
      <c r="BK48" s="221"/>
      <c r="BL48" s="221"/>
      <c r="BM48" s="221"/>
      <c r="BN48" s="221"/>
      <c r="BO48" s="221"/>
      <c r="BP48" s="221"/>
      <c r="BQ48" s="221"/>
      <c r="BR48" s="221"/>
      <c r="BS48" s="221"/>
      <c r="BT48" s="221"/>
      <c r="BU48" s="221"/>
      <c r="BV48" s="221"/>
      <c r="BW48" s="221"/>
      <c r="BX48" s="221"/>
      <c r="BY48" s="221"/>
      <c r="BZ48" s="221"/>
      <c r="CA48" s="221"/>
      <c r="CB48" s="221"/>
      <c r="CC48" s="221"/>
      <c r="CD48" s="221"/>
      <c r="CE48" s="221"/>
      <c r="CF48" s="221"/>
      <c r="CG48" s="221"/>
      <c r="CH48" s="221"/>
      <c r="CI48" s="221"/>
      <c r="CJ48" s="221"/>
      <c r="CK48" s="221"/>
      <c r="CL48" s="221"/>
      <c r="CM48" s="221"/>
      <c r="CN48" s="221"/>
      <c r="CO48" s="221"/>
      <c r="CP48" s="221"/>
      <c r="CQ48" s="221"/>
      <c r="CR48" s="221"/>
      <c r="CS48" s="221"/>
      <c r="CT48" s="221"/>
      <c r="CU48" s="221"/>
      <c r="CV48" s="221"/>
      <c r="CW48" s="221"/>
      <c r="CX48" s="221"/>
      <c r="CY48" s="221"/>
      <c r="CZ48" s="221"/>
      <c r="DA48" s="221"/>
      <c r="DB48" s="221"/>
      <c r="DC48" s="221"/>
      <c r="DD48" s="221"/>
      <c r="DE48" s="221"/>
      <c r="DF48" s="221"/>
      <c r="DG48" s="221"/>
      <c r="DH48" s="221"/>
      <c r="DI48" s="221"/>
      <c r="DJ48" s="221"/>
      <c r="DK48" s="221"/>
      <c r="DL48" s="221"/>
      <c r="DM48" s="221"/>
      <c r="DN48" s="221"/>
      <c r="DO48" s="221"/>
      <c r="DP48" s="221"/>
      <c r="DQ48" s="221"/>
      <c r="DR48" s="221"/>
      <c r="DS48" s="221"/>
      <c r="DT48" s="221"/>
      <c r="DU48" s="221"/>
      <c r="DV48" s="221"/>
      <c r="DW48" s="221"/>
      <c r="DX48" s="221"/>
      <c r="DY48" s="221"/>
      <c r="DZ48" s="221"/>
      <c r="EA48" s="221"/>
      <c r="EB48" s="221"/>
      <c r="EC48" s="221"/>
      <c r="ED48" s="221"/>
      <c r="EE48" s="221"/>
      <c r="EF48" s="221"/>
    </row>
    <row r="49" spans="1:136" s="2" customFormat="1" ht="18" customHeight="1" thickTop="1">
      <c r="A49" s="983"/>
      <c r="B49" s="983"/>
      <c r="C49" s="983"/>
      <c r="D49" s="983"/>
      <c r="E49" s="983"/>
      <c r="F49" s="983"/>
      <c r="G49" s="983"/>
      <c r="H49" s="983"/>
      <c r="I49" s="983"/>
      <c r="J49" s="983"/>
      <c r="K49" s="983"/>
      <c r="L49" s="983"/>
      <c r="M49" s="983"/>
      <c r="N49" s="983"/>
      <c r="O49" s="983"/>
      <c r="P49" s="983"/>
      <c r="Q49" s="983"/>
      <c r="R49" s="983"/>
      <c r="S49" s="983"/>
      <c r="T49" s="983"/>
      <c r="U49" s="983"/>
      <c r="V49" s="983"/>
      <c r="W49" s="983"/>
      <c r="X49" s="983"/>
      <c r="Y49" s="983"/>
      <c r="Z49" s="983"/>
      <c r="AA49" s="983"/>
      <c r="AB49" s="983"/>
      <c r="AC49" s="983"/>
      <c r="AD49" s="983"/>
      <c r="AE49" s="983"/>
      <c r="AF49" s="983"/>
      <c r="AG49" s="221"/>
      <c r="AH49" s="250"/>
      <c r="AI49" s="221"/>
      <c r="AJ49" s="221"/>
      <c r="AK49" s="221"/>
      <c r="AL49" s="221"/>
      <c r="AM49" s="221"/>
      <c r="AN49" s="221"/>
      <c r="AO49" s="221"/>
      <c r="AP49" s="221"/>
      <c r="AQ49" s="221"/>
      <c r="AR49" s="221"/>
      <c r="AS49" s="221"/>
      <c r="AT49" s="221"/>
      <c r="AU49" s="221"/>
      <c r="AV49" s="221"/>
      <c r="AW49" s="255"/>
      <c r="AX49" s="1031" t="s">
        <v>517</v>
      </c>
      <c r="AY49" s="1031"/>
      <c r="AZ49" s="1031"/>
      <c r="BA49" s="1030">
        <f>SUM(BA40:BD48)</f>
        <v>0</v>
      </c>
      <c r="BB49" s="1030"/>
      <c r="BC49" s="1030"/>
      <c r="BD49" s="1030"/>
      <c r="BE49" s="221"/>
      <c r="BF49" s="221"/>
      <c r="BG49" s="221"/>
      <c r="BH49" s="221"/>
      <c r="BI49" s="221"/>
      <c r="BJ49" s="221"/>
      <c r="BK49" s="221"/>
      <c r="BL49" s="221"/>
      <c r="BM49" s="221"/>
      <c r="BN49" s="221"/>
      <c r="BO49" s="221"/>
      <c r="BP49" s="221"/>
      <c r="BQ49" s="221"/>
      <c r="BR49" s="221"/>
      <c r="BS49" s="221"/>
      <c r="BT49" s="221"/>
      <c r="BU49" s="221"/>
      <c r="BV49" s="221"/>
      <c r="BW49" s="221"/>
      <c r="BX49" s="221"/>
      <c r="BY49" s="221"/>
      <c r="BZ49" s="221"/>
      <c r="CA49" s="221"/>
      <c r="CB49" s="221"/>
      <c r="CC49" s="221"/>
      <c r="CD49" s="221"/>
      <c r="CE49" s="221"/>
      <c r="CF49" s="221"/>
      <c r="CG49" s="221"/>
      <c r="CH49" s="221"/>
      <c r="CI49" s="221"/>
      <c r="CJ49" s="221"/>
      <c r="CK49" s="221"/>
      <c r="CL49" s="221"/>
      <c r="CM49" s="221"/>
      <c r="CN49" s="221"/>
      <c r="CO49" s="221"/>
      <c r="CP49" s="221"/>
      <c r="CQ49" s="221"/>
      <c r="CR49" s="221"/>
      <c r="CS49" s="221"/>
      <c r="CT49" s="221"/>
      <c r="CU49" s="221"/>
      <c r="CV49" s="221"/>
      <c r="CW49" s="221"/>
      <c r="CX49" s="221"/>
      <c r="CY49" s="221"/>
      <c r="CZ49" s="221"/>
      <c r="DA49" s="221"/>
      <c r="DB49" s="221"/>
      <c r="DC49" s="221"/>
      <c r="DD49" s="221"/>
      <c r="DE49" s="221"/>
      <c r="DF49" s="221"/>
      <c r="DG49" s="221"/>
      <c r="DH49" s="221"/>
      <c r="DI49" s="221"/>
      <c r="DJ49" s="221"/>
      <c r="DK49" s="221"/>
      <c r="DL49" s="221"/>
      <c r="DM49" s="221"/>
      <c r="DN49" s="221"/>
      <c r="DO49" s="221"/>
      <c r="DP49" s="221"/>
      <c r="DQ49" s="221"/>
      <c r="DR49" s="221"/>
      <c r="DS49" s="221"/>
      <c r="DT49" s="221"/>
      <c r="DU49" s="221"/>
      <c r="DV49" s="221"/>
      <c r="DW49" s="221"/>
      <c r="DX49" s="221"/>
      <c r="DY49" s="221"/>
      <c r="DZ49" s="221"/>
      <c r="EA49" s="221"/>
      <c r="EB49" s="221"/>
      <c r="EC49" s="221"/>
      <c r="ED49" s="221"/>
      <c r="EE49" s="221"/>
      <c r="EF49" s="221"/>
    </row>
    <row r="50" spans="1:136" s="2" customFormat="1" ht="18" customHeight="1">
      <c r="A50" s="983"/>
      <c r="B50" s="983"/>
      <c r="C50" s="983"/>
      <c r="D50" s="983"/>
      <c r="E50" s="983"/>
      <c r="F50" s="983"/>
      <c r="G50" s="983"/>
      <c r="H50" s="983"/>
      <c r="I50" s="983"/>
      <c r="J50" s="983"/>
      <c r="K50" s="983"/>
      <c r="L50" s="983"/>
      <c r="M50" s="983"/>
      <c r="N50" s="983"/>
      <c r="O50" s="983"/>
      <c r="P50" s="983"/>
      <c r="Q50" s="983"/>
      <c r="R50" s="983"/>
      <c r="S50" s="983"/>
      <c r="T50" s="983"/>
      <c r="U50" s="983"/>
      <c r="V50" s="983"/>
      <c r="W50" s="983"/>
      <c r="X50" s="983"/>
      <c r="Y50" s="983"/>
      <c r="Z50" s="983"/>
      <c r="AA50" s="983"/>
      <c r="AB50" s="983"/>
      <c r="AC50" s="983"/>
      <c r="AD50" s="983"/>
      <c r="AE50" s="983"/>
      <c r="AF50" s="983"/>
      <c r="AG50" s="221"/>
      <c r="AH50" s="979" t="s">
        <v>928</v>
      </c>
      <c r="AI50" s="979"/>
      <c r="AJ50" s="979"/>
      <c r="AK50" s="979"/>
      <c r="AL50" s="979"/>
      <c r="AM50" s="979"/>
      <c r="AN50" s="979"/>
      <c r="AO50" s="979"/>
      <c r="AP50" s="979"/>
      <c r="AQ50" s="979"/>
      <c r="AR50" s="979"/>
      <c r="AS50" s="979"/>
      <c r="AT50" s="979"/>
      <c r="AU50" s="979"/>
      <c r="AV50" s="979"/>
      <c r="AW50" s="979"/>
      <c r="AX50" s="979"/>
      <c r="AY50" s="979"/>
      <c r="AZ50" s="979"/>
      <c r="BA50" s="979"/>
      <c r="BB50" s="979"/>
      <c r="BC50" s="979"/>
      <c r="BD50" s="979"/>
      <c r="BE50" s="979"/>
      <c r="BF50" s="979"/>
      <c r="BG50" s="979"/>
      <c r="BH50" s="979"/>
      <c r="BI50" s="221"/>
      <c r="BJ50" s="221"/>
      <c r="BK50" s="221"/>
      <c r="BL50" s="221"/>
      <c r="BM50" s="221"/>
      <c r="BN50" s="221"/>
      <c r="BO50" s="221"/>
      <c r="BP50" s="221"/>
      <c r="BQ50" s="221"/>
      <c r="BR50" s="221"/>
      <c r="BS50" s="221"/>
      <c r="BT50" s="221"/>
      <c r="BU50" s="221"/>
      <c r="BV50" s="221"/>
      <c r="BW50" s="221"/>
      <c r="BX50" s="221"/>
      <c r="BY50" s="221"/>
      <c r="BZ50" s="221"/>
      <c r="CA50" s="221"/>
      <c r="CB50" s="221"/>
      <c r="CC50" s="221"/>
      <c r="CD50" s="221"/>
      <c r="CE50" s="221"/>
      <c r="CF50" s="221"/>
      <c r="CG50" s="221"/>
      <c r="CH50" s="221"/>
      <c r="CI50" s="221"/>
      <c r="CJ50" s="221"/>
      <c r="CK50" s="221"/>
      <c r="CL50" s="221"/>
      <c r="CM50" s="221"/>
      <c r="CN50" s="221"/>
      <c r="CO50" s="221"/>
      <c r="CP50" s="221"/>
      <c r="CQ50" s="221"/>
      <c r="CR50" s="221"/>
      <c r="CS50" s="221"/>
      <c r="CT50" s="221"/>
      <c r="CU50" s="221"/>
      <c r="CV50" s="221"/>
      <c r="CW50" s="221"/>
      <c r="CX50" s="221"/>
      <c r="CY50" s="221"/>
      <c r="CZ50" s="221"/>
      <c r="DA50" s="221"/>
      <c r="DB50" s="221"/>
      <c r="DC50" s="221"/>
      <c r="DD50" s="221"/>
      <c r="DE50" s="221"/>
      <c r="DF50" s="221"/>
      <c r="DG50" s="221"/>
      <c r="DH50" s="221"/>
      <c r="DI50" s="221"/>
      <c r="DJ50" s="221"/>
      <c r="DK50" s="221"/>
      <c r="DL50" s="221"/>
      <c r="DM50" s="221"/>
      <c r="DN50" s="221"/>
      <c r="DO50" s="221"/>
      <c r="DP50" s="221"/>
      <c r="DQ50" s="221"/>
      <c r="DR50" s="221"/>
      <c r="DS50" s="221"/>
      <c r="DT50" s="221"/>
      <c r="DU50" s="221"/>
      <c r="DV50" s="221"/>
      <c r="DW50" s="221"/>
      <c r="DX50" s="221"/>
      <c r="DY50" s="221"/>
      <c r="DZ50" s="221"/>
      <c r="EA50" s="221"/>
      <c r="EB50" s="221"/>
      <c r="EC50" s="221"/>
      <c r="ED50" s="221"/>
      <c r="EE50" s="221"/>
      <c r="EF50" s="221"/>
    </row>
    <row r="51" spans="1:136" s="2" customFormat="1" ht="18" customHeight="1">
      <c r="A51" s="984"/>
      <c r="B51" s="984"/>
      <c r="C51" s="984"/>
      <c r="D51" s="984"/>
      <c r="E51" s="984"/>
      <c r="F51" s="984"/>
      <c r="G51" s="984"/>
      <c r="H51" s="984"/>
      <c r="I51" s="984"/>
      <c r="J51" s="984"/>
      <c r="K51" s="984"/>
      <c r="L51" s="984"/>
      <c r="M51" s="984"/>
      <c r="N51" s="984"/>
      <c r="O51" s="984"/>
      <c r="P51" s="984"/>
      <c r="Q51" s="984"/>
      <c r="R51" s="984"/>
      <c r="S51" s="984"/>
      <c r="T51" s="984"/>
      <c r="U51" s="984"/>
      <c r="V51" s="984"/>
      <c r="W51" s="984"/>
      <c r="X51" s="984"/>
      <c r="Y51" s="984"/>
      <c r="Z51" s="984"/>
      <c r="AA51" s="984"/>
      <c r="AB51" s="984"/>
      <c r="AC51" s="984"/>
      <c r="AD51" s="984"/>
      <c r="AE51" s="984"/>
      <c r="AF51" s="984"/>
      <c r="AG51" s="221"/>
      <c r="AH51" s="978" t="str">
        <f>IF('Project Information'!B44="","",'Project Information'!B44)</f>
        <v/>
      </c>
      <c r="AI51" s="978"/>
      <c r="AJ51" s="978"/>
      <c r="AK51" s="978"/>
      <c r="AL51" s="978"/>
      <c r="AM51" s="978"/>
      <c r="AN51" s="978"/>
      <c r="AO51" s="978"/>
      <c r="AP51" s="978"/>
      <c r="AQ51" s="978"/>
      <c r="AR51" s="978"/>
      <c r="AS51" s="978"/>
      <c r="AT51" s="978"/>
      <c r="AU51" s="978"/>
      <c r="AV51" s="978"/>
      <c r="AW51" s="978"/>
      <c r="AX51" s="978"/>
      <c r="AY51" s="978"/>
      <c r="AZ51" s="978"/>
      <c r="BA51" s="978"/>
      <c r="BB51" s="978"/>
      <c r="BC51" s="978"/>
      <c r="BD51" s="978"/>
      <c r="BE51" s="978"/>
      <c r="BF51" s="978"/>
      <c r="BG51" s="978"/>
      <c r="BH51" s="978"/>
      <c r="BI51" s="221"/>
      <c r="BJ51" s="221"/>
      <c r="BK51" s="221"/>
      <c r="BL51" s="221"/>
      <c r="BM51" s="221"/>
      <c r="BN51" s="221"/>
      <c r="BO51" s="221"/>
      <c r="BP51" s="221"/>
      <c r="BQ51" s="221"/>
      <c r="BR51" s="221"/>
      <c r="BS51" s="221"/>
      <c r="BT51" s="221"/>
      <c r="BU51" s="221"/>
      <c r="BV51" s="221"/>
      <c r="BW51" s="221"/>
      <c r="BX51" s="221"/>
      <c r="BY51" s="221"/>
      <c r="BZ51" s="221"/>
      <c r="CA51" s="221"/>
      <c r="CB51" s="221"/>
      <c r="CC51" s="221"/>
      <c r="CD51" s="221"/>
      <c r="CE51" s="221"/>
      <c r="CF51" s="221"/>
      <c r="CG51" s="221"/>
      <c r="CH51" s="221"/>
      <c r="CI51" s="221"/>
      <c r="CJ51" s="221"/>
      <c r="CK51" s="221"/>
      <c r="CL51" s="221"/>
      <c r="CM51" s="221"/>
      <c r="CN51" s="221"/>
      <c r="CO51" s="221"/>
      <c r="CP51" s="221"/>
      <c r="CQ51" s="221"/>
      <c r="CR51" s="221"/>
      <c r="CS51" s="221"/>
      <c r="CT51" s="221"/>
      <c r="CU51" s="221"/>
      <c r="CV51" s="221"/>
      <c r="CW51" s="221"/>
      <c r="CX51" s="221"/>
      <c r="CY51" s="221"/>
      <c r="CZ51" s="221"/>
      <c r="DA51" s="221"/>
      <c r="DB51" s="221"/>
      <c r="DC51" s="221"/>
      <c r="DD51" s="221"/>
      <c r="DE51" s="221"/>
      <c r="DF51" s="221"/>
      <c r="DG51" s="221"/>
      <c r="DH51" s="221"/>
      <c r="DI51" s="221"/>
      <c r="DJ51" s="221"/>
      <c r="DK51" s="221"/>
      <c r="DL51" s="221"/>
      <c r="DM51" s="221"/>
      <c r="DN51" s="221"/>
      <c r="DO51" s="221"/>
      <c r="DP51" s="221"/>
      <c r="DQ51" s="221"/>
      <c r="DR51" s="221"/>
      <c r="DS51" s="221"/>
      <c r="DT51" s="221"/>
      <c r="DU51" s="221"/>
      <c r="DV51" s="221"/>
      <c r="DW51" s="221"/>
      <c r="DX51" s="221"/>
      <c r="DY51" s="221"/>
      <c r="DZ51" s="221"/>
      <c r="EA51" s="221"/>
      <c r="EB51" s="221"/>
      <c r="EC51" s="221"/>
      <c r="ED51" s="221"/>
      <c r="EE51" s="221"/>
      <c r="EF51" s="221"/>
    </row>
    <row r="52" spans="1:136" s="2" customFormat="1" ht="18" customHeight="1">
      <c r="A52" s="985" t="s">
        <v>526</v>
      </c>
      <c r="B52" s="985"/>
      <c r="C52" s="985"/>
      <c r="D52" s="985"/>
      <c r="E52" s="985"/>
      <c r="F52" s="985"/>
      <c r="G52" s="985"/>
      <c r="H52" s="985"/>
      <c r="I52" s="985"/>
      <c r="J52" s="985"/>
      <c r="K52" s="985"/>
      <c r="L52" s="985"/>
      <c r="M52" s="985"/>
      <c r="N52" s="985"/>
      <c r="O52" s="985"/>
      <c r="P52" s="985"/>
      <c r="Q52" s="985"/>
      <c r="R52" s="985"/>
      <c r="S52" s="985"/>
      <c r="T52" s="985"/>
      <c r="U52" s="985"/>
      <c r="V52" s="985"/>
      <c r="W52" s="985"/>
      <c r="X52" s="985"/>
      <c r="Y52" s="985"/>
      <c r="Z52" s="985"/>
      <c r="AA52" s="985"/>
      <c r="AB52" s="985"/>
      <c r="AC52" s="985"/>
      <c r="AD52" s="985"/>
      <c r="AE52" s="985"/>
      <c r="AF52" s="985"/>
      <c r="AG52" s="221"/>
      <c r="AH52" s="978"/>
      <c r="AI52" s="978"/>
      <c r="AJ52" s="978"/>
      <c r="AK52" s="978"/>
      <c r="AL52" s="978"/>
      <c r="AM52" s="978"/>
      <c r="AN52" s="978"/>
      <c r="AO52" s="978"/>
      <c r="AP52" s="978"/>
      <c r="AQ52" s="978"/>
      <c r="AR52" s="978"/>
      <c r="AS52" s="978"/>
      <c r="AT52" s="978"/>
      <c r="AU52" s="978"/>
      <c r="AV52" s="978"/>
      <c r="AW52" s="978"/>
      <c r="AX52" s="978"/>
      <c r="AY52" s="978"/>
      <c r="AZ52" s="978"/>
      <c r="BA52" s="978"/>
      <c r="BB52" s="978"/>
      <c r="BC52" s="978"/>
      <c r="BD52" s="978"/>
      <c r="BE52" s="978"/>
      <c r="BF52" s="978"/>
      <c r="BG52" s="978"/>
      <c r="BH52" s="978"/>
      <c r="BI52" s="221"/>
      <c r="BJ52" s="221"/>
      <c r="BK52" s="221"/>
      <c r="BL52" s="221"/>
      <c r="BM52" s="221"/>
      <c r="BN52" s="221"/>
      <c r="BO52" s="221"/>
      <c r="BP52" s="221"/>
      <c r="BQ52" s="221"/>
      <c r="BR52" s="221"/>
      <c r="BS52" s="221"/>
      <c r="BT52" s="221"/>
      <c r="BU52" s="221"/>
      <c r="BV52" s="221"/>
      <c r="BW52" s="221"/>
      <c r="BX52" s="221"/>
      <c r="BY52" s="221"/>
      <c r="BZ52" s="221"/>
      <c r="CA52" s="221"/>
      <c r="CB52" s="221"/>
      <c r="CC52" s="221"/>
      <c r="CD52" s="221"/>
      <c r="CE52" s="221"/>
      <c r="CF52" s="221"/>
      <c r="CG52" s="221"/>
      <c r="CH52" s="221"/>
      <c r="CI52" s="221"/>
      <c r="CJ52" s="221"/>
      <c r="CK52" s="221"/>
      <c r="CL52" s="221"/>
      <c r="CM52" s="221"/>
      <c r="CN52" s="221"/>
      <c r="CO52" s="221"/>
      <c r="CP52" s="221"/>
      <c r="CQ52" s="221"/>
      <c r="CR52" s="221"/>
      <c r="CS52" s="221"/>
      <c r="CT52" s="221"/>
      <c r="CU52" s="221"/>
      <c r="CV52" s="221"/>
      <c r="CW52" s="221"/>
      <c r="CX52" s="221"/>
      <c r="CY52" s="221"/>
      <c r="CZ52" s="221"/>
      <c r="DA52" s="221"/>
      <c r="DB52" s="221"/>
      <c r="DC52" s="221"/>
      <c r="DD52" s="221"/>
      <c r="DE52" s="221"/>
      <c r="DF52" s="221"/>
      <c r="DG52" s="221"/>
      <c r="DH52" s="221"/>
      <c r="DI52" s="221"/>
      <c r="DJ52" s="221"/>
      <c r="DK52" s="221"/>
      <c r="DL52" s="221"/>
      <c r="DM52" s="221"/>
      <c r="DN52" s="221"/>
      <c r="DO52" s="221"/>
      <c r="DP52" s="221"/>
      <c r="DQ52" s="221"/>
      <c r="DR52" s="221"/>
      <c r="DS52" s="221"/>
      <c r="DT52" s="221"/>
      <c r="DU52" s="221"/>
      <c r="DV52" s="221"/>
      <c r="DW52" s="221"/>
      <c r="DX52" s="221"/>
      <c r="DY52" s="221"/>
      <c r="DZ52" s="221"/>
      <c r="EA52" s="221"/>
      <c r="EB52" s="221"/>
      <c r="EC52" s="221"/>
      <c r="ED52" s="221"/>
      <c r="EE52" s="221"/>
      <c r="EF52" s="221"/>
    </row>
    <row r="53" spans="1:136" s="2" customFormat="1" ht="18" customHeight="1">
      <c r="A53" s="983"/>
      <c r="B53" s="983"/>
      <c r="C53" s="983"/>
      <c r="D53" s="983"/>
      <c r="E53" s="983"/>
      <c r="F53" s="983"/>
      <c r="G53" s="983"/>
      <c r="H53" s="983"/>
      <c r="I53" s="983"/>
      <c r="J53" s="983"/>
      <c r="K53" s="983"/>
      <c r="L53" s="983"/>
      <c r="M53" s="983"/>
      <c r="N53" s="983"/>
      <c r="O53" s="983"/>
      <c r="P53" s="983"/>
      <c r="Q53" s="983"/>
      <c r="R53" s="983"/>
      <c r="S53" s="983"/>
      <c r="T53" s="983"/>
      <c r="U53" s="983"/>
      <c r="V53" s="983"/>
      <c r="W53" s="983"/>
      <c r="X53" s="983"/>
      <c r="Y53" s="983"/>
      <c r="Z53" s="983"/>
      <c r="AA53" s="983"/>
      <c r="AB53" s="983"/>
      <c r="AC53" s="983"/>
      <c r="AD53" s="983"/>
      <c r="AE53" s="983"/>
      <c r="AF53" s="983"/>
      <c r="AG53" s="221"/>
      <c r="AH53" s="978"/>
      <c r="AI53" s="978"/>
      <c r="AJ53" s="978"/>
      <c r="AK53" s="978"/>
      <c r="AL53" s="978"/>
      <c r="AM53" s="978"/>
      <c r="AN53" s="978"/>
      <c r="AO53" s="978"/>
      <c r="AP53" s="978"/>
      <c r="AQ53" s="978"/>
      <c r="AR53" s="978"/>
      <c r="AS53" s="978"/>
      <c r="AT53" s="978"/>
      <c r="AU53" s="978"/>
      <c r="AV53" s="978"/>
      <c r="AW53" s="978"/>
      <c r="AX53" s="978"/>
      <c r="AY53" s="978"/>
      <c r="AZ53" s="978"/>
      <c r="BA53" s="978"/>
      <c r="BB53" s="978"/>
      <c r="BC53" s="978"/>
      <c r="BD53" s="978"/>
      <c r="BE53" s="978"/>
      <c r="BF53" s="978"/>
      <c r="BG53" s="978"/>
      <c r="BH53" s="978"/>
      <c r="BI53" s="221"/>
      <c r="BJ53" s="221"/>
      <c r="BK53" s="221"/>
      <c r="BL53" s="221"/>
      <c r="BM53" s="221"/>
      <c r="BN53" s="221"/>
      <c r="BO53" s="221"/>
      <c r="BP53" s="221"/>
      <c r="BQ53" s="221"/>
      <c r="BR53" s="221"/>
      <c r="BS53" s="221"/>
      <c r="BT53" s="221"/>
      <c r="BU53" s="221"/>
      <c r="BV53" s="221"/>
      <c r="BW53" s="221"/>
      <c r="BX53" s="221"/>
      <c r="BY53" s="221"/>
      <c r="BZ53" s="221"/>
      <c r="CA53" s="221"/>
      <c r="CB53" s="221"/>
      <c r="CC53" s="221"/>
      <c r="CD53" s="221"/>
      <c r="CE53" s="221"/>
      <c r="CF53" s="221"/>
      <c r="CG53" s="221"/>
      <c r="CH53" s="221"/>
      <c r="CI53" s="221"/>
      <c r="CJ53" s="221"/>
      <c r="CK53" s="221"/>
      <c r="CL53" s="221"/>
      <c r="CM53" s="221"/>
      <c r="CN53" s="221"/>
      <c r="CO53" s="221"/>
      <c r="CP53" s="221"/>
      <c r="CQ53" s="221"/>
      <c r="CR53" s="221"/>
      <c r="CS53" s="221"/>
      <c r="CT53" s="221"/>
      <c r="CU53" s="221"/>
      <c r="CV53" s="221"/>
      <c r="CW53" s="221"/>
      <c r="CX53" s="221"/>
      <c r="CY53" s="221"/>
      <c r="CZ53" s="221"/>
      <c r="DA53" s="221"/>
      <c r="DB53" s="221"/>
      <c r="DC53" s="221"/>
      <c r="DD53" s="221"/>
      <c r="DE53" s="221"/>
      <c r="DF53" s="221"/>
      <c r="DG53" s="221"/>
      <c r="DH53" s="221"/>
      <c r="DI53" s="221"/>
      <c r="DJ53" s="221"/>
      <c r="DK53" s="221"/>
      <c r="DL53" s="221"/>
      <c r="DM53" s="221"/>
      <c r="DN53" s="221"/>
      <c r="DO53" s="221"/>
      <c r="DP53" s="221"/>
      <c r="DQ53" s="221"/>
      <c r="DR53" s="221"/>
      <c r="DS53" s="221"/>
      <c r="DT53" s="221"/>
      <c r="DU53" s="221"/>
      <c r="DV53" s="221"/>
      <c r="DW53" s="221"/>
      <c r="DX53" s="221"/>
      <c r="DY53" s="221"/>
      <c r="DZ53" s="221"/>
      <c r="EA53" s="221"/>
      <c r="EB53" s="221"/>
      <c r="EC53" s="221"/>
      <c r="ED53" s="221"/>
      <c r="EE53" s="221"/>
      <c r="EF53" s="221"/>
    </row>
    <row r="54" spans="1:136" s="2" customFormat="1" ht="18" customHeight="1">
      <c r="A54" s="983"/>
      <c r="B54" s="983"/>
      <c r="C54" s="983"/>
      <c r="D54" s="983"/>
      <c r="E54" s="983"/>
      <c r="F54" s="983"/>
      <c r="G54" s="983"/>
      <c r="H54" s="983"/>
      <c r="I54" s="983"/>
      <c r="J54" s="983"/>
      <c r="K54" s="983"/>
      <c r="L54" s="983"/>
      <c r="M54" s="983"/>
      <c r="N54" s="983"/>
      <c r="O54" s="983"/>
      <c r="P54" s="983"/>
      <c r="Q54" s="983"/>
      <c r="R54" s="983"/>
      <c r="S54" s="983"/>
      <c r="T54" s="983"/>
      <c r="U54" s="983"/>
      <c r="V54" s="983"/>
      <c r="W54" s="983"/>
      <c r="X54" s="983"/>
      <c r="Y54" s="983"/>
      <c r="Z54" s="983"/>
      <c r="AA54" s="983"/>
      <c r="AB54" s="983"/>
      <c r="AC54" s="983"/>
      <c r="AD54" s="983"/>
      <c r="AE54" s="983"/>
      <c r="AF54" s="983"/>
      <c r="AG54" s="221"/>
      <c r="AH54" s="978"/>
      <c r="AI54" s="978"/>
      <c r="AJ54" s="978"/>
      <c r="AK54" s="978"/>
      <c r="AL54" s="978"/>
      <c r="AM54" s="978"/>
      <c r="AN54" s="978"/>
      <c r="AO54" s="978"/>
      <c r="AP54" s="978"/>
      <c r="AQ54" s="978"/>
      <c r="AR54" s="978"/>
      <c r="AS54" s="978"/>
      <c r="AT54" s="978"/>
      <c r="AU54" s="978"/>
      <c r="AV54" s="978"/>
      <c r="AW54" s="978"/>
      <c r="AX54" s="978"/>
      <c r="AY54" s="978"/>
      <c r="AZ54" s="978"/>
      <c r="BA54" s="978"/>
      <c r="BB54" s="978"/>
      <c r="BC54" s="978"/>
      <c r="BD54" s="978"/>
      <c r="BE54" s="978"/>
      <c r="BF54" s="978"/>
      <c r="BG54" s="978"/>
      <c r="BH54" s="978"/>
      <c r="BI54" s="221"/>
      <c r="BJ54" s="221"/>
      <c r="BK54" s="221"/>
      <c r="BL54" s="221"/>
      <c r="BM54" s="221"/>
      <c r="BN54" s="221"/>
      <c r="BO54" s="221"/>
      <c r="BP54" s="221"/>
      <c r="BQ54" s="221"/>
      <c r="BR54" s="221"/>
      <c r="BS54" s="221"/>
      <c r="BT54" s="221"/>
      <c r="BU54" s="221"/>
      <c r="BV54" s="221"/>
      <c r="BW54" s="221"/>
      <c r="BX54" s="221"/>
      <c r="BY54" s="221"/>
      <c r="BZ54" s="221"/>
      <c r="CA54" s="221"/>
      <c r="CB54" s="221"/>
      <c r="CC54" s="221"/>
      <c r="CD54" s="221"/>
      <c r="CE54" s="221"/>
      <c r="CF54" s="221"/>
      <c r="CG54" s="221"/>
      <c r="CH54" s="221"/>
      <c r="CI54" s="221"/>
      <c r="CJ54" s="221"/>
      <c r="CK54" s="221"/>
      <c r="CL54" s="221"/>
      <c r="CM54" s="221"/>
      <c r="CN54" s="221"/>
      <c r="CO54" s="221"/>
      <c r="CP54" s="221"/>
      <c r="CQ54" s="221"/>
      <c r="CR54" s="221"/>
      <c r="CS54" s="221"/>
      <c r="CT54" s="221"/>
      <c r="CU54" s="221"/>
      <c r="CV54" s="221"/>
      <c r="CW54" s="221"/>
      <c r="CX54" s="221"/>
      <c r="CY54" s="221"/>
      <c r="CZ54" s="221"/>
      <c r="DA54" s="221"/>
      <c r="DB54" s="221"/>
      <c r="DC54" s="221"/>
      <c r="DD54" s="221"/>
      <c r="DE54" s="221"/>
      <c r="DF54" s="221"/>
      <c r="DG54" s="221"/>
      <c r="DH54" s="221"/>
      <c r="DI54" s="221"/>
      <c r="DJ54" s="221"/>
      <c r="DK54" s="221"/>
      <c r="DL54" s="221"/>
      <c r="DM54" s="221"/>
      <c r="DN54" s="221"/>
      <c r="DO54" s="221"/>
      <c r="DP54" s="221"/>
      <c r="DQ54" s="221"/>
      <c r="DR54" s="221"/>
      <c r="DS54" s="221"/>
      <c r="DT54" s="221"/>
      <c r="DU54" s="221"/>
      <c r="DV54" s="221"/>
      <c r="DW54" s="221"/>
      <c r="DX54" s="221"/>
      <c r="DY54" s="221"/>
      <c r="DZ54" s="221"/>
      <c r="EA54" s="221"/>
      <c r="EB54" s="221"/>
      <c r="EC54" s="221"/>
      <c r="ED54" s="221"/>
      <c r="EE54" s="221"/>
      <c r="EF54" s="221"/>
    </row>
    <row r="55" spans="1:136" s="2" customFormat="1" ht="18" customHeight="1">
      <c r="A55" s="983"/>
      <c r="B55" s="983"/>
      <c r="C55" s="983"/>
      <c r="D55" s="983"/>
      <c r="E55" s="983"/>
      <c r="F55" s="983"/>
      <c r="G55" s="983"/>
      <c r="H55" s="983"/>
      <c r="I55" s="983"/>
      <c r="J55" s="983"/>
      <c r="K55" s="983"/>
      <c r="L55" s="983"/>
      <c r="M55" s="983"/>
      <c r="N55" s="983"/>
      <c r="O55" s="983"/>
      <c r="P55" s="983"/>
      <c r="Q55" s="983"/>
      <c r="R55" s="983"/>
      <c r="S55" s="983"/>
      <c r="T55" s="983"/>
      <c r="U55" s="983"/>
      <c r="V55" s="983"/>
      <c r="W55" s="983"/>
      <c r="X55" s="983"/>
      <c r="Y55" s="983"/>
      <c r="Z55" s="983"/>
      <c r="AA55" s="983"/>
      <c r="AB55" s="983"/>
      <c r="AC55" s="983"/>
      <c r="AD55" s="983"/>
      <c r="AE55" s="983"/>
      <c r="AF55" s="983"/>
      <c r="AG55" s="221"/>
      <c r="AH55" s="978"/>
      <c r="AI55" s="978"/>
      <c r="AJ55" s="978"/>
      <c r="AK55" s="978"/>
      <c r="AL55" s="978"/>
      <c r="AM55" s="978"/>
      <c r="AN55" s="978"/>
      <c r="AO55" s="978"/>
      <c r="AP55" s="978"/>
      <c r="AQ55" s="978"/>
      <c r="AR55" s="978"/>
      <c r="AS55" s="978"/>
      <c r="AT55" s="978"/>
      <c r="AU55" s="978"/>
      <c r="AV55" s="978"/>
      <c r="AW55" s="978"/>
      <c r="AX55" s="978"/>
      <c r="AY55" s="978"/>
      <c r="AZ55" s="978"/>
      <c r="BA55" s="978"/>
      <c r="BB55" s="978"/>
      <c r="BC55" s="978"/>
      <c r="BD55" s="978"/>
      <c r="BE55" s="978"/>
      <c r="BF55" s="978"/>
      <c r="BG55" s="978"/>
      <c r="BH55" s="978"/>
      <c r="BI55" s="221"/>
      <c r="BJ55" s="221"/>
      <c r="BK55" s="221"/>
      <c r="BL55" s="221"/>
      <c r="BM55" s="221"/>
      <c r="BN55" s="221"/>
      <c r="BO55" s="221"/>
      <c r="BP55" s="221"/>
      <c r="BQ55" s="221"/>
      <c r="BR55" s="221"/>
      <c r="BS55" s="221"/>
      <c r="BT55" s="221"/>
      <c r="BU55" s="221"/>
      <c r="BV55" s="221"/>
      <c r="BW55" s="221"/>
      <c r="BX55" s="221"/>
      <c r="BY55" s="221"/>
      <c r="BZ55" s="221"/>
      <c r="CA55" s="221"/>
      <c r="CB55" s="221"/>
      <c r="CC55" s="221"/>
      <c r="CD55" s="221"/>
      <c r="CE55" s="221"/>
      <c r="CF55" s="221"/>
      <c r="CG55" s="221"/>
      <c r="CH55" s="221"/>
      <c r="CI55" s="221"/>
      <c r="CJ55" s="221"/>
      <c r="CK55" s="221"/>
      <c r="CL55" s="221"/>
      <c r="CM55" s="221"/>
      <c r="CN55" s="221"/>
      <c r="CO55" s="221"/>
      <c r="CP55" s="221"/>
      <c r="CQ55" s="221"/>
      <c r="CR55" s="221"/>
      <c r="CS55" s="221"/>
      <c r="CT55" s="221"/>
      <c r="CU55" s="221"/>
      <c r="CV55" s="221"/>
      <c r="CW55" s="221"/>
      <c r="CX55" s="221"/>
      <c r="CY55" s="221"/>
      <c r="CZ55" s="221"/>
      <c r="DA55" s="221"/>
      <c r="DB55" s="221"/>
      <c r="DC55" s="221"/>
      <c r="DD55" s="221"/>
      <c r="DE55" s="221"/>
      <c r="DF55" s="221"/>
      <c r="DG55" s="221"/>
      <c r="DH55" s="221"/>
      <c r="DI55" s="221"/>
      <c r="DJ55" s="221"/>
      <c r="DK55" s="221"/>
      <c r="DL55" s="221"/>
      <c r="DM55" s="221"/>
      <c r="DN55" s="221"/>
      <c r="DO55" s="221"/>
      <c r="DP55" s="221"/>
      <c r="DQ55" s="221"/>
      <c r="DR55" s="221"/>
      <c r="DS55" s="221"/>
      <c r="DT55" s="221"/>
      <c r="DU55" s="221"/>
      <c r="DV55" s="221"/>
      <c r="DW55" s="221"/>
      <c r="DX55" s="221"/>
      <c r="DY55" s="221"/>
      <c r="DZ55" s="221"/>
      <c r="EA55" s="221"/>
      <c r="EB55" s="221"/>
      <c r="EC55" s="221"/>
      <c r="ED55" s="221"/>
      <c r="EE55" s="221"/>
      <c r="EF55" s="221"/>
    </row>
    <row r="56" spans="1:136" s="2" customFormat="1" ht="18" customHeight="1">
      <c r="A56" s="980"/>
      <c r="B56" s="980"/>
      <c r="C56" s="980"/>
      <c r="D56" s="980"/>
      <c r="E56" s="980"/>
      <c r="F56" s="980"/>
      <c r="G56" s="980"/>
      <c r="H56" s="980"/>
      <c r="I56" s="980"/>
      <c r="J56" s="980"/>
      <c r="K56" s="980"/>
      <c r="L56" s="980"/>
      <c r="M56" s="980"/>
      <c r="N56" s="980"/>
      <c r="O56" s="980"/>
      <c r="P56" s="980"/>
      <c r="Q56" s="980"/>
      <c r="R56" s="980"/>
      <c r="S56" s="980"/>
      <c r="T56" s="980"/>
      <c r="U56" s="980"/>
      <c r="V56" s="980"/>
      <c r="W56" s="980"/>
      <c r="X56" s="980"/>
      <c r="Y56" s="980"/>
      <c r="Z56" s="980"/>
      <c r="AA56" s="980"/>
      <c r="AB56" s="980"/>
      <c r="AC56" s="980"/>
      <c r="AD56" s="980"/>
      <c r="AE56" s="980"/>
      <c r="AF56" s="980"/>
      <c r="AG56" s="980"/>
      <c r="AH56" s="978"/>
      <c r="AI56" s="978"/>
      <c r="AJ56" s="978"/>
      <c r="AK56" s="978"/>
      <c r="AL56" s="978"/>
      <c r="AM56" s="978"/>
      <c r="AN56" s="978"/>
      <c r="AO56" s="978"/>
      <c r="AP56" s="978"/>
      <c r="AQ56" s="978"/>
      <c r="AR56" s="978"/>
      <c r="AS56" s="978"/>
      <c r="AT56" s="978"/>
      <c r="AU56" s="978"/>
      <c r="AV56" s="978"/>
      <c r="AW56" s="978"/>
      <c r="AX56" s="978"/>
      <c r="AY56" s="978"/>
      <c r="AZ56" s="978"/>
      <c r="BA56" s="978"/>
      <c r="BB56" s="978"/>
      <c r="BC56" s="978"/>
      <c r="BD56" s="978"/>
      <c r="BE56" s="978"/>
      <c r="BF56" s="978"/>
      <c r="BG56" s="978"/>
      <c r="BH56" s="978"/>
    </row>
    <row r="57" spans="1:136" s="2" customFormat="1" ht="18" customHeight="1">
      <c r="AG57" s="221"/>
      <c r="AW57" s="220"/>
    </row>
    <row r="58" spans="1:136" s="2" customFormat="1" ht="18" customHeight="1">
      <c r="AG58" s="221"/>
      <c r="AW58" s="220"/>
    </row>
    <row r="59" spans="1:136" s="2" customFormat="1" ht="18" customHeight="1">
      <c r="AG59" s="221"/>
      <c r="AW59" s="220"/>
    </row>
  </sheetData>
  <sheetProtection algorithmName="SHA-512" hashValue="pMvjolR9Xw7/PwC62ttTas5gA8xzDxVBF/NhvjrDm6flhoQgvCA543Qzrda6n5D1lcxtwcd8oTAaLNgaP1/hag==" saltValue="z2JOqPFM4hVFhUApKXiwFA==" spinCount="100000" sheet="1" selectLockedCells="1"/>
  <mergeCells count="570">
    <mergeCell ref="CQ11:DD11"/>
    <mergeCell ref="DE11:DF11"/>
    <mergeCell ref="DC8:DD8"/>
    <mergeCell ref="DE8:DH8"/>
    <mergeCell ref="DI8:DL8"/>
    <mergeCell ref="AH9:AV9"/>
    <mergeCell ref="AW9:AY9"/>
    <mergeCell ref="AZ9:BA9"/>
    <mergeCell ref="BB9:BE9"/>
    <mergeCell ref="BF9:BI9"/>
    <mergeCell ref="BJ9:BM9"/>
    <mergeCell ref="BN9:BQ9"/>
    <mergeCell ref="BR9:BU9"/>
    <mergeCell ref="BV9:BX9"/>
    <mergeCell ref="BY9:CB9"/>
    <mergeCell ref="CC9:CE9"/>
    <mergeCell ref="CF9:CJ9"/>
    <mergeCell ref="CK9:CP9"/>
    <mergeCell ref="CQ9:CS9"/>
    <mergeCell ref="CT9:CY9"/>
    <mergeCell ref="CZ9:DB9"/>
    <mergeCell ref="DC9:DD9"/>
    <mergeCell ref="DE9:DH9"/>
    <mergeCell ref="DI9:DL9"/>
    <mergeCell ref="AW8:AY8"/>
    <mergeCell ref="AZ8:BA8"/>
    <mergeCell ref="BB8:BE8"/>
    <mergeCell ref="BF8:BI8"/>
    <mergeCell ref="BJ8:BM8"/>
    <mergeCell ref="BN8:BQ8"/>
    <mergeCell ref="BR8:BU8"/>
    <mergeCell ref="BV8:BX8"/>
    <mergeCell ref="BY8:CB8"/>
    <mergeCell ref="DC14:DD14"/>
    <mergeCell ref="CQ7:CS7"/>
    <mergeCell ref="CT7:CY7"/>
    <mergeCell ref="CZ7:DB7"/>
    <mergeCell ref="DC7:DD7"/>
    <mergeCell ref="DE7:DH7"/>
    <mergeCell ref="DI7:DL7"/>
    <mergeCell ref="CQ5:CS5"/>
    <mergeCell ref="CT5:CY5"/>
    <mergeCell ref="CZ5:DB5"/>
    <mergeCell ref="DC5:DD5"/>
    <mergeCell ref="DE5:DH5"/>
    <mergeCell ref="DI5:DL5"/>
    <mergeCell ref="CQ6:CS6"/>
    <mergeCell ref="CT6:CY6"/>
    <mergeCell ref="CZ6:DB6"/>
    <mergeCell ref="DC6:DD6"/>
    <mergeCell ref="DE6:DH6"/>
    <mergeCell ref="DI6:DL6"/>
    <mergeCell ref="CQ8:CS8"/>
    <mergeCell ref="CT8:CY8"/>
    <mergeCell ref="CZ8:DB8"/>
    <mergeCell ref="CT4:CY4"/>
    <mergeCell ref="CZ4:DB4"/>
    <mergeCell ref="DC4:DD4"/>
    <mergeCell ref="DE4:DH4"/>
    <mergeCell ref="DI4:DL4"/>
    <mergeCell ref="DJ3:DL3"/>
    <mergeCell ref="DC3:DH3"/>
    <mergeCell ref="CW3:DA3"/>
    <mergeCell ref="CP3:CU3"/>
    <mergeCell ref="CK4:CP4"/>
    <mergeCell ref="AH48:AV48"/>
    <mergeCell ref="AW48:AX48"/>
    <mergeCell ref="AY48:AZ48"/>
    <mergeCell ref="BA48:BD48"/>
    <mergeCell ref="BE48:BH48"/>
    <mergeCell ref="AH46:AV46"/>
    <mergeCell ref="AW46:AX46"/>
    <mergeCell ref="AY46:AZ46"/>
    <mergeCell ref="BA46:BD46"/>
    <mergeCell ref="BE46:BH46"/>
    <mergeCell ref="AH47:AV47"/>
    <mergeCell ref="AW47:AX47"/>
    <mergeCell ref="AY47:AZ47"/>
    <mergeCell ref="BA47:BD47"/>
    <mergeCell ref="BE47:BH47"/>
    <mergeCell ref="AH44:AV44"/>
    <mergeCell ref="AW44:AX44"/>
    <mergeCell ref="AY44:AZ44"/>
    <mergeCell ref="BA44:BD44"/>
    <mergeCell ref="BE44:BH44"/>
    <mergeCell ref="AH45:AV45"/>
    <mergeCell ref="AW45:AX45"/>
    <mergeCell ref="AY45:AZ45"/>
    <mergeCell ref="BA45:BD45"/>
    <mergeCell ref="BE45:BH45"/>
    <mergeCell ref="AH42:AV42"/>
    <mergeCell ref="AW42:AX42"/>
    <mergeCell ref="AY42:AZ42"/>
    <mergeCell ref="BA42:BD42"/>
    <mergeCell ref="BE42:BH42"/>
    <mergeCell ref="AH43:AV43"/>
    <mergeCell ref="AW43:AX43"/>
    <mergeCell ref="AY43:AZ43"/>
    <mergeCell ref="BA43:BD43"/>
    <mergeCell ref="BE43:BH43"/>
    <mergeCell ref="AH40:AV40"/>
    <mergeCell ref="AW40:AX40"/>
    <mergeCell ref="AY40:AZ40"/>
    <mergeCell ref="BA40:BD40"/>
    <mergeCell ref="BE40:BH40"/>
    <mergeCell ref="AH41:AV41"/>
    <mergeCell ref="AW41:AX41"/>
    <mergeCell ref="AY41:AZ41"/>
    <mergeCell ref="BA41:BD41"/>
    <mergeCell ref="BE41:BH41"/>
    <mergeCell ref="AH39:AV39"/>
    <mergeCell ref="AW39:AX39"/>
    <mergeCell ref="AY39:AZ39"/>
    <mergeCell ref="BA39:BD39"/>
    <mergeCell ref="BE39:BH39"/>
    <mergeCell ref="AH35:AV35"/>
    <mergeCell ref="AW35:AX35"/>
    <mergeCell ref="AY35:AZ35"/>
    <mergeCell ref="BA35:BD35"/>
    <mergeCell ref="BE35:BH35"/>
    <mergeCell ref="AH36:AV36"/>
    <mergeCell ref="AW36:AX36"/>
    <mergeCell ref="AY36:AZ36"/>
    <mergeCell ref="BA36:BD36"/>
    <mergeCell ref="BE36:BH36"/>
    <mergeCell ref="AH33:AV33"/>
    <mergeCell ref="AW33:AX33"/>
    <mergeCell ref="AY33:AZ33"/>
    <mergeCell ref="BA33:BD33"/>
    <mergeCell ref="BE33:BH33"/>
    <mergeCell ref="AH34:AV34"/>
    <mergeCell ref="AW34:AX34"/>
    <mergeCell ref="AY34:AZ34"/>
    <mergeCell ref="BA34:BD34"/>
    <mergeCell ref="BE34:BH34"/>
    <mergeCell ref="AH31:AV31"/>
    <mergeCell ref="AW31:AX31"/>
    <mergeCell ref="AY31:AZ31"/>
    <mergeCell ref="BA31:BD31"/>
    <mergeCell ref="BE31:BH31"/>
    <mergeCell ref="AH32:AV32"/>
    <mergeCell ref="AW32:AX32"/>
    <mergeCell ref="AY32:AZ32"/>
    <mergeCell ref="BA32:BD32"/>
    <mergeCell ref="BE32:BH32"/>
    <mergeCell ref="BE29:BH29"/>
    <mergeCell ref="AH30:AV30"/>
    <mergeCell ref="AW30:AX30"/>
    <mergeCell ref="AY30:AZ30"/>
    <mergeCell ref="BA30:BD30"/>
    <mergeCell ref="BE30:BH30"/>
    <mergeCell ref="BA28:BD28"/>
    <mergeCell ref="AY28:AZ28"/>
    <mergeCell ref="AW28:AX28"/>
    <mergeCell ref="AH28:AV28"/>
    <mergeCell ref="AH29:AV29"/>
    <mergeCell ref="AW29:AX29"/>
    <mergeCell ref="AY29:AZ29"/>
    <mergeCell ref="BA29:BD29"/>
    <mergeCell ref="BE28:BH28"/>
    <mergeCell ref="ED24:EF24"/>
    <mergeCell ref="DQ24:DR24"/>
    <mergeCell ref="DQ23:DR23"/>
    <mergeCell ref="DM24:DN24"/>
    <mergeCell ref="DM23:DN23"/>
    <mergeCell ref="ED23:EF23"/>
    <mergeCell ref="DJ23:DL23"/>
    <mergeCell ref="DO23:DP23"/>
    <mergeCell ref="DS23:DT23"/>
    <mergeCell ref="DU23:DV23"/>
    <mergeCell ref="DW23:DX23"/>
    <mergeCell ref="DY23:EC23"/>
    <mergeCell ref="DJ24:DL24"/>
    <mergeCell ref="DO24:DP24"/>
    <mergeCell ref="DS24:DT24"/>
    <mergeCell ref="DU24:DV24"/>
    <mergeCell ref="DW24:DX24"/>
    <mergeCell ref="DY24:EC24"/>
    <mergeCell ref="CQ24:CT24"/>
    <mergeCell ref="AW23:AY23"/>
    <mergeCell ref="AH23:AV23"/>
    <mergeCell ref="CU23:CZ23"/>
    <mergeCell ref="DA23:DC23"/>
    <mergeCell ref="DD23:DI23"/>
    <mergeCell ref="BV23:CB23"/>
    <mergeCell ref="BR23:BU23"/>
    <mergeCell ref="BN23:BQ23"/>
    <mergeCell ref="BF23:BI23"/>
    <mergeCell ref="BB23:BE23"/>
    <mergeCell ref="AZ23:BA23"/>
    <mergeCell ref="CU24:CZ24"/>
    <mergeCell ref="DA24:DC24"/>
    <mergeCell ref="DD24:DI24"/>
    <mergeCell ref="BB24:BE24"/>
    <mergeCell ref="BF24:BI24"/>
    <mergeCell ref="BN24:BQ24"/>
    <mergeCell ref="BR24:BU24"/>
    <mergeCell ref="BV24:CB24"/>
    <mergeCell ref="CC24:CE24"/>
    <mergeCell ref="DC22:DE22"/>
    <mergeCell ref="CQ23:CT23"/>
    <mergeCell ref="CN23:CP23"/>
    <mergeCell ref="CF23:CM23"/>
    <mergeCell ref="CC23:CE23"/>
    <mergeCell ref="CF22:CM22"/>
    <mergeCell ref="CN22:CP22"/>
    <mergeCell ref="CQ22:CT22"/>
    <mergeCell ref="CU22:CW22"/>
    <mergeCell ref="CX22:CZ22"/>
    <mergeCell ref="DA22:DB22"/>
    <mergeCell ref="AH22:AV22"/>
    <mergeCell ref="AW22:AY22"/>
    <mergeCell ref="AZ22:BA22"/>
    <mergeCell ref="BB22:BE22"/>
    <mergeCell ref="BF22:BI22"/>
    <mergeCell ref="BN22:BQ22"/>
    <mergeCell ref="BR22:BU22"/>
    <mergeCell ref="BV22:CB22"/>
    <mergeCell ref="CC22:CE22"/>
    <mergeCell ref="DC19:DE19"/>
    <mergeCell ref="AH19:AV19"/>
    <mergeCell ref="DC21:DE21"/>
    <mergeCell ref="DA21:DB21"/>
    <mergeCell ref="CX21:CZ21"/>
    <mergeCell ref="CU21:CW21"/>
    <mergeCell ref="CQ21:CT21"/>
    <mergeCell ref="CN21:CP21"/>
    <mergeCell ref="CF21:CM21"/>
    <mergeCell ref="CQ19:CT19"/>
    <mergeCell ref="CU19:CW19"/>
    <mergeCell ref="CX19:CZ19"/>
    <mergeCell ref="DA19:DB19"/>
    <mergeCell ref="AZ20:BA20"/>
    <mergeCell ref="AW20:AY20"/>
    <mergeCell ref="DC20:DE20"/>
    <mergeCell ref="DA20:DB20"/>
    <mergeCell ref="CX20:CZ20"/>
    <mergeCell ref="CU20:CW20"/>
    <mergeCell ref="CQ20:CT20"/>
    <mergeCell ref="CC21:CE21"/>
    <mergeCell ref="BV21:CB21"/>
    <mergeCell ref="BR21:BU21"/>
    <mergeCell ref="BN21:BQ21"/>
    <mergeCell ref="BV19:CB19"/>
    <mergeCell ref="CF19:CM19"/>
    <mergeCell ref="CN19:CP19"/>
    <mergeCell ref="CC18:CE18"/>
    <mergeCell ref="BB18:BE18"/>
    <mergeCell ref="AZ18:BA18"/>
    <mergeCell ref="BB19:BE19"/>
    <mergeCell ref="AW18:AY18"/>
    <mergeCell ref="BV18:CB18"/>
    <mergeCell ref="AW21:AY21"/>
    <mergeCell ref="AH21:AV21"/>
    <mergeCell ref="BN18:BQ18"/>
    <mergeCell ref="AH2:AQ2"/>
    <mergeCell ref="CF15:CP15"/>
    <mergeCell ref="CC15:CE15"/>
    <mergeCell ref="BR15:BU15"/>
    <mergeCell ref="BV15:CB15"/>
    <mergeCell ref="BY3:CB3"/>
    <mergeCell ref="BR13:BU13"/>
    <mergeCell ref="BR12:BU12"/>
    <mergeCell ref="BR11:BU11"/>
    <mergeCell ref="BR10:BU10"/>
    <mergeCell ref="BR7:BU7"/>
    <mergeCell ref="BR6:BU6"/>
    <mergeCell ref="CN20:CP20"/>
    <mergeCell ref="CF20:CM20"/>
    <mergeCell ref="CC20:CE20"/>
    <mergeCell ref="BV20:CB20"/>
    <mergeCell ref="BR20:BU20"/>
    <mergeCell ref="BN20:BQ20"/>
    <mergeCell ref="BF21:BI21"/>
    <mergeCell ref="BB21:BE21"/>
    <mergeCell ref="AW19:AY19"/>
    <mergeCell ref="AW17:AY17"/>
    <mergeCell ref="CQ17:CR17"/>
    <mergeCell ref="CF17:CM17"/>
    <mergeCell ref="CN17:CP17"/>
    <mergeCell ref="CF18:CM18"/>
    <mergeCell ref="CN18:CP18"/>
    <mergeCell ref="CQ18:CS18"/>
    <mergeCell ref="BF1:BI1"/>
    <mergeCell ref="CQ4:CS4"/>
    <mergeCell ref="CQ14:DB14"/>
    <mergeCell ref="BR4:BU4"/>
    <mergeCell ref="BR3:BU3"/>
    <mergeCell ref="CF4:CJ4"/>
    <mergeCell ref="CF3:CJ3"/>
    <mergeCell ref="BY13:CB13"/>
    <mergeCell ref="BY12:CB12"/>
    <mergeCell ref="BY11:CB11"/>
    <mergeCell ref="BY10:CB10"/>
    <mergeCell ref="BY7:CB7"/>
    <mergeCell ref="BY6:CB6"/>
    <mergeCell ref="BY5:CB5"/>
    <mergeCell ref="BY4:CB4"/>
    <mergeCell ref="BV3:BX3"/>
    <mergeCell ref="CV18:CX18"/>
    <mergeCell ref="CC3:CE3"/>
    <mergeCell ref="CC4:CE4"/>
    <mergeCell ref="BV4:BX4"/>
    <mergeCell ref="CK10:CP10"/>
    <mergeCell ref="CC10:CE10"/>
    <mergeCell ref="BV10:BX10"/>
    <mergeCell ref="CF14:CJ14"/>
    <mergeCell ref="CF13:CJ13"/>
    <mergeCell ref="CF12:CJ12"/>
    <mergeCell ref="CF11:CJ11"/>
    <mergeCell ref="CF10:CJ10"/>
    <mergeCell ref="CK12:CP12"/>
    <mergeCell ref="CC12:CE12"/>
    <mergeCell ref="BV12:BX12"/>
    <mergeCell ref="CK11:CP11"/>
    <mergeCell ref="CC11:CE11"/>
    <mergeCell ref="BV11:BX11"/>
    <mergeCell ref="CK5:CP5"/>
    <mergeCell ref="CC5:CE5"/>
    <mergeCell ref="BV5:BX5"/>
    <mergeCell ref="CC8:CE8"/>
    <mergeCell ref="CF8:CJ8"/>
    <mergeCell ref="CK8:CP8"/>
    <mergeCell ref="AY27:AZ27"/>
    <mergeCell ref="AW27:AX27"/>
    <mergeCell ref="AH27:AV27"/>
    <mergeCell ref="AH20:AV20"/>
    <mergeCell ref="BF20:BI20"/>
    <mergeCell ref="BB20:BE20"/>
    <mergeCell ref="CF16:CP16"/>
    <mergeCell ref="CC17:CE17"/>
    <mergeCell ref="CC16:CE16"/>
    <mergeCell ref="BR16:BU16"/>
    <mergeCell ref="BR17:BU17"/>
    <mergeCell ref="BV17:CB17"/>
    <mergeCell ref="BV16:CB16"/>
    <mergeCell ref="BR18:BU18"/>
    <mergeCell ref="BJ16:BM16"/>
    <mergeCell ref="BF16:BI16"/>
    <mergeCell ref="BB16:BE16"/>
    <mergeCell ref="AZ16:BA16"/>
    <mergeCell ref="AW16:AY16"/>
    <mergeCell ref="BJ18:BM18"/>
    <mergeCell ref="BF18:BI18"/>
    <mergeCell ref="BN17:BQ17"/>
    <mergeCell ref="BN16:BQ16"/>
    <mergeCell ref="AZ17:BA17"/>
    <mergeCell ref="BR14:BU14"/>
    <mergeCell ref="BY14:CB14"/>
    <mergeCell ref="CK14:CP14"/>
    <mergeCell ref="CC14:CE14"/>
    <mergeCell ref="BV14:BX14"/>
    <mergeCell ref="CK13:CP13"/>
    <mergeCell ref="CC13:CE13"/>
    <mergeCell ref="BV13:BX13"/>
    <mergeCell ref="BE27:BH27"/>
    <mergeCell ref="BJ17:BM17"/>
    <mergeCell ref="BF17:BI17"/>
    <mergeCell ref="BB17:BE17"/>
    <mergeCell ref="CF24:CM24"/>
    <mergeCell ref="CN24:CP24"/>
    <mergeCell ref="BN15:BQ15"/>
    <mergeCell ref="BN14:BQ14"/>
    <mergeCell ref="BN13:BQ13"/>
    <mergeCell ref="BA27:BD27"/>
    <mergeCell ref="AZ21:BA21"/>
    <mergeCell ref="AZ19:BA19"/>
    <mergeCell ref="BF19:BI19"/>
    <mergeCell ref="BN19:BQ19"/>
    <mergeCell ref="BR19:BU19"/>
    <mergeCell ref="CC19:CE19"/>
    <mergeCell ref="W17:AF17"/>
    <mergeCell ref="A12:E12"/>
    <mergeCell ref="R17:V17"/>
    <mergeCell ref="W7:AA7"/>
    <mergeCell ref="W6:AA6"/>
    <mergeCell ref="R7:V7"/>
    <mergeCell ref="R6:V6"/>
    <mergeCell ref="R15:V15"/>
    <mergeCell ref="R14:V14"/>
    <mergeCell ref="R13:V13"/>
    <mergeCell ref="R12:V12"/>
    <mergeCell ref="F17:O17"/>
    <mergeCell ref="AB6:AF6"/>
    <mergeCell ref="AB7:AF7"/>
    <mergeCell ref="BJ11:BM11"/>
    <mergeCell ref="BF11:BI11"/>
    <mergeCell ref="BB11:BE11"/>
    <mergeCell ref="AZ11:BA11"/>
    <mergeCell ref="AW11:AY11"/>
    <mergeCell ref="D2:L2"/>
    <mergeCell ref="A7:E7"/>
    <mergeCell ref="A6:E6"/>
    <mergeCell ref="F6:Q6"/>
    <mergeCell ref="F7:Q7"/>
    <mergeCell ref="V3:X3"/>
    <mergeCell ref="AZ7:BA7"/>
    <mergeCell ref="AW3:AY3"/>
    <mergeCell ref="AZ3:BA3"/>
    <mergeCell ref="BB3:BE3"/>
    <mergeCell ref="BF3:BI3"/>
    <mergeCell ref="BJ3:BM3"/>
    <mergeCell ref="D3:L3"/>
    <mergeCell ref="R5:V5"/>
    <mergeCell ref="W5:AA5"/>
    <mergeCell ref="M3:T3"/>
    <mergeCell ref="AB5:AF5"/>
    <mergeCell ref="A4:D4"/>
    <mergeCell ref="E4:F4"/>
    <mergeCell ref="BN5:BQ5"/>
    <mergeCell ref="CK7:CP7"/>
    <mergeCell ref="CC7:CE7"/>
    <mergeCell ref="BV7:BX7"/>
    <mergeCell ref="CK6:CP6"/>
    <mergeCell ref="CC6:CE6"/>
    <mergeCell ref="BV6:BX6"/>
    <mergeCell ref="CF7:CJ7"/>
    <mergeCell ref="CF6:CJ6"/>
    <mergeCell ref="CF5:CJ5"/>
    <mergeCell ref="BN7:BQ7"/>
    <mergeCell ref="BN6:BQ6"/>
    <mergeCell ref="BR5:BU5"/>
    <mergeCell ref="BN12:BQ12"/>
    <mergeCell ref="BJ15:BM15"/>
    <mergeCell ref="BF15:BI15"/>
    <mergeCell ref="BB15:BE15"/>
    <mergeCell ref="AZ15:BA15"/>
    <mergeCell ref="AW15:AY15"/>
    <mergeCell ref="BJ12:BM12"/>
    <mergeCell ref="BF12:BI12"/>
    <mergeCell ref="BB12:BE12"/>
    <mergeCell ref="AZ12:BA12"/>
    <mergeCell ref="AW12:AY12"/>
    <mergeCell ref="BN3:BQ3"/>
    <mergeCell ref="AR2:AV2"/>
    <mergeCell ref="AW2:AY2"/>
    <mergeCell ref="AZ2:BA2"/>
    <mergeCell ref="BB2:BE2"/>
    <mergeCell ref="BF2:BI2"/>
    <mergeCell ref="BN2:BQ2"/>
    <mergeCell ref="AH3:AV3"/>
    <mergeCell ref="BJ1:BM2"/>
    <mergeCell ref="AT1:AV1"/>
    <mergeCell ref="BN4:BQ4"/>
    <mergeCell ref="BJ4:BM4"/>
    <mergeCell ref="BN11:BQ11"/>
    <mergeCell ref="BN10:BQ10"/>
    <mergeCell ref="BJ14:BM14"/>
    <mergeCell ref="BJ13:BM13"/>
    <mergeCell ref="BF4:BI4"/>
    <mergeCell ref="BB4:BE4"/>
    <mergeCell ref="BB5:BE5"/>
    <mergeCell ref="BF14:BI14"/>
    <mergeCell ref="BB14:BE14"/>
    <mergeCell ref="BF13:BI13"/>
    <mergeCell ref="BB13:BE13"/>
    <mergeCell ref="BJ5:BM5"/>
    <mergeCell ref="BF5:BI5"/>
    <mergeCell ref="BF10:BI10"/>
    <mergeCell ref="BB10:BE10"/>
    <mergeCell ref="BJ10:BM10"/>
    <mergeCell ref="BJ6:BM6"/>
    <mergeCell ref="BF6:BI6"/>
    <mergeCell ref="BB6:BE6"/>
    <mergeCell ref="BJ7:BM7"/>
    <mergeCell ref="BF7:BI7"/>
    <mergeCell ref="BB7:BE7"/>
    <mergeCell ref="AR17:AV17"/>
    <mergeCell ref="AR18:AV18"/>
    <mergeCell ref="AR16:AV16"/>
    <mergeCell ref="AR15:AV15"/>
    <mergeCell ref="BA49:BD49"/>
    <mergeCell ref="AX49:AZ49"/>
    <mergeCell ref="AX37:AZ37"/>
    <mergeCell ref="BA37:BD37"/>
    <mergeCell ref="AZ4:BA4"/>
    <mergeCell ref="AZ5:BA5"/>
    <mergeCell ref="AZ14:BA14"/>
    <mergeCell ref="AZ13:BA13"/>
    <mergeCell ref="AW4:AY4"/>
    <mergeCell ref="AW5:AY5"/>
    <mergeCell ref="AW7:AY7"/>
    <mergeCell ref="AW6:AY6"/>
    <mergeCell ref="AW14:AY14"/>
    <mergeCell ref="AW13:AY13"/>
    <mergeCell ref="AZ6:BA6"/>
    <mergeCell ref="AZ10:BA10"/>
    <mergeCell ref="AW10:AY10"/>
    <mergeCell ref="AH24:AV24"/>
    <mergeCell ref="AW24:AY24"/>
    <mergeCell ref="AZ24:BA24"/>
    <mergeCell ref="AH14:AV14"/>
    <mergeCell ref="AH13:AV13"/>
    <mergeCell ref="AH12:AV12"/>
    <mergeCell ref="AH11:AV11"/>
    <mergeCell ref="AH10:AV10"/>
    <mergeCell ref="AH7:AV7"/>
    <mergeCell ref="AH6:AV6"/>
    <mergeCell ref="AH5:AV5"/>
    <mergeCell ref="AH4:AV4"/>
    <mergeCell ref="AH8:AV8"/>
    <mergeCell ref="A47:AF47"/>
    <mergeCell ref="A39:B39"/>
    <mergeCell ref="A37:L37"/>
    <mergeCell ref="A36:L36"/>
    <mergeCell ref="A35:L35"/>
    <mergeCell ref="A34:L34"/>
    <mergeCell ref="A27:G27"/>
    <mergeCell ref="A26:G26"/>
    <mergeCell ref="A25:G25"/>
    <mergeCell ref="M32:P32"/>
    <mergeCell ref="H26:Q26"/>
    <mergeCell ref="H25:Q25"/>
    <mergeCell ref="H28:Q28"/>
    <mergeCell ref="A28:G28"/>
    <mergeCell ref="H27:Q27"/>
    <mergeCell ref="M31:P31"/>
    <mergeCell ref="A32:L32"/>
    <mergeCell ref="A38:J38"/>
    <mergeCell ref="A43:G43"/>
    <mergeCell ref="H43:L43"/>
    <mergeCell ref="A40:B40"/>
    <mergeCell ref="A19:AF19"/>
    <mergeCell ref="A18:AF18"/>
    <mergeCell ref="A24:G24"/>
    <mergeCell ref="W16:AF16"/>
    <mergeCell ref="W15:AF15"/>
    <mergeCell ref="W14:AF14"/>
    <mergeCell ref="W13:AF13"/>
    <mergeCell ref="W12:AF12"/>
    <mergeCell ref="A17:E17"/>
    <mergeCell ref="R16:V16"/>
    <mergeCell ref="H23:Q23"/>
    <mergeCell ref="H24:Q24"/>
    <mergeCell ref="H22:Q22"/>
    <mergeCell ref="A23:G23"/>
    <mergeCell ref="A22:G22"/>
    <mergeCell ref="F16:O16"/>
    <mergeCell ref="F15:O15"/>
    <mergeCell ref="F14:O14"/>
    <mergeCell ref="F13:O13"/>
    <mergeCell ref="F12:O12"/>
    <mergeCell ref="A16:E16"/>
    <mergeCell ref="A15:E15"/>
    <mergeCell ref="A14:E14"/>
    <mergeCell ref="A13:E13"/>
    <mergeCell ref="AH51:BH56"/>
    <mergeCell ref="AH50:BH50"/>
    <mergeCell ref="A56:AG56"/>
    <mergeCell ref="N1:P1"/>
    <mergeCell ref="A46:AF46"/>
    <mergeCell ref="A48:AF50"/>
    <mergeCell ref="A51:AF51"/>
    <mergeCell ref="A52:AF52"/>
    <mergeCell ref="A53:AF55"/>
    <mergeCell ref="A41:B41"/>
    <mergeCell ref="C41:J41"/>
    <mergeCell ref="A44:G44"/>
    <mergeCell ref="A45:G45"/>
    <mergeCell ref="H45:L45"/>
    <mergeCell ref="H44:L44"/>
    <mergeCell ref="Q31:AF37"/>
    <mergeCell ref="A30:AF30"/>
    <mergeCell ref="A33:L33"/>
    <mergeCell ref="A31:L31"/>
    <mergeCell ref="M37:P37"/>
    <mergeCell ref="M36:P36"/>
    <mergeCell ref="M35:P35"/>
    <mergeCell ref="M34:P34"/>
    <mergeCell ref="M33:P33"/>
  </mergeCells>
  <conditionalFormatting sqref="H45:L45">
    <cfRule type="cellIs" dxfId="51" priority="2" operator="lessThanOrEqual">
      <formula>1</formula>
    </cfRule>
    <cfRule type="expression" dxfId="50" priority="3">
      <formula>AND($H$45&gt;1,$H$45&lt;=2)</formula>
    </cfRule>
    <cfRule type="cellIs" dxfId="49" priority="4" operator="greaterThan">
      <formula>2</formula>
    </cfRule>
  </conditionalFormatting>
  <conditionalFormatting sqref="BA49:BD49">
    <cfRule type="cellIs" dxfId="48" priority="1" operator="greaterThan">
      <formula>4500</formula>
    </cfRule>
  </conditionalFormatting>
  <pageMargins left="0.7" right="0.7" top="0.75" bottom="0.75" header="0.3" footer="0.3"/>
  <pageSetup orientation="landscape" horizontalDpi="1200" verticalDpi="1200" r:id="rId1"/>
  <colBreaks count="1" manualBreakCount="1">
    <brk id="32"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681B1BCF-F0C1-499D-B549-52C04910AB48}">
          <x14:formula1>
            <xm:f>Lists!$L$1:$L$2</xm:f>
          </x14:formula1>
          <xm:sqref>A39:A41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67098-79CB-4281-8B96-D5E348D8FD6C}">
  <dimension ref="A2:Q38"/>
  <sheetViews>
    <sheetView zoomScaleNormal="100" workbookViewId="0">
      <selection activeCell="M13" sqref="M13"/>
    </sheetView>
  </sheetViews>
  <sheetFormatPr defaultRowHeight="14.4"/>
  <cols>
    <col min="2" max="2" width="39.33203125" bestFit="1" customWidth="1"/>
    <col min="3" max="3" width="10.33203125" bestFit="1" customWidth="1"/>
    <col min="9" max="9" width="23.77734375" bestFit="1" customWidth="1"/>
  </cols>
  <sheetData>
    <row r="2" spans="1:17">
      <c r="A2" s="1111"/>
      <c r="B2" s="1111"/>
      <c r="C2" s="209"/>
      <c r="D2" s="209"/>
      <c r="E2" s="209"/>
      <c r="F2" s="209"/>
      <c r="G2" s="218"/>
      <c r="H2" s="209"/>
    </row>
    <row r="3" spans="1:17">
      <c r="A3" s="209"/>
      <c r="B3" s="210" t="s">
        <v>466</v>
      </c>
      <c r="C3" s="211" t="s">
        <v>460</v>
      </c>
      <c r="D3" s="211" t="s">
        <v>461</v>
      </c>
      <c r="E3" s="211" t="s">
        <v>462</v>
      </c>
      <c r="F3" s="211" t="s">
        <v>424</v>
      </c>
      <c r="G3" s="211" t="s">
        <v>487</v>
      </c>
      <c r="H3" s="209"/>
      <c r="I3" s="210" t="s">
        <v>465</v>
      </c>
      <c r="J3" s="211" t="s">
        <v>460</v>
      </c>
      <c r="K3" s="211" t="s">
        <v>461</v>
      </c>
      <c r="L3" s="211" t="s">
        <v>462</v>
      </c>
      <c r="M3" s="211" t="s">
        <v>424</v>
      </c>
      <c r="N3" s="211" t="s">
        <v>487</v>
      </c>
      <c r="P3" s="210"/>
    </row>
    <row r="4" spans="1:17">
      <c r="A4" s="209"/>
      <c r="B4" t="s">
        <v>37</v>
      </c>
      <c r="C4" s="214">
        <f>'Work Scope'!$N$10</f>
        <v>0</v>
      </c>
      <c r="D4" s="217">
        <v>1.291780309</v>
      </c>
      <c r="E4" s="217">
        <v>0</v>
      </c>
      <c r="F4" s="215">
        <f>'Work Scope'!$T$10</f>
        <v>0</v>
      </c>
      <c r="G4" s="215">
        <f t="shared" ref="G4:G13" si="0">IF(F4=0,0,D4*F4)</f>
        <v>0</v>
      </c>
      <c r="H4" s="209"/>
      <c r="I4" t="s">
        <v>37</v>
      </c>
      <c r="J4" s="214">
        <f>'Work Scope'!$N$10</f>
        <v>0</v>
      </c>
      <c r="K4" s="217">
        <v>0.324790786</v>
      </c>
      <c r="L4" s="217">
        <v>5.6031980000000002E-2</v>
      </c>
      <c r="M4" s="215">
        <f>'Work Scope'!$T$10</f>
        <v>0</v>
      </c>
      <c r="N4" s="215">
        <f>IF(M4=0,0,IF('Project Information'!$J$9="X",((K4*M4)+(L4*M4*$J$20)),(L4*M4*$J$20)))</f>
        <v>0</v>
      </c>
      <c r="P4" t="s">
        <v>1073</v>
      </c>
    </row>
    <row r="5" spans="1:17">
      <c r="A5" s="209"/>
      <c r="B5" t="s">
        <v>62</v>
      </c>
      <c r="C5" s="214">
        <f>'Work Scope'!$N$12</f>
        <v>0</v>
      </c>
      <c r="D5" s="217">
        <v>1.5094221069056399</v>
      </c>
      <c r="E5" s="217">
        <v>0</v>
      </c>
      <c r="F5" s="215">
        <f>'Work Scope'!$T$12</f>
        <v>0</v>
      </c>
      <c r="G5" s="215">
        <f t="shared" si="0"/>
        <v>0</v>
      </c>
      <c r="H5" s="209"/>
      <c r="I5" t="s">
        <v>62</v>
      </c>
      <c r="J5" s="214">
        <f>'Work Scope'!$N$12</f>
        <v>0</v>
      </c>
      <c r="K5" s="217">
        <v>0.32864428000000001</v>
      </c>
      <c r="L5" s="217">
        <v>9.9436144000000004E-2</v>
      </c>
      <c r="M5" s="215">
        <f>'Work Scope'!$T$12</f>
        <v>0</v>
      </c>
      <c r="N5" s="215">
        <f>IF(M5=0,0,IF('Project Information'!$J$9="X",((K5*M5)+(L5*M5*$J$20)),(L5*M5*$J$20)))</f>
        <v>0</v>
      </c>
      <c r="P5" t="s">
        <v>1072</v>
      </c>
      <c r="Q5">
        <f>IF(M4=0,0,IF('Project Information'!$J$9="X",((K4*M4)+(L4*M4*$J$20)),(L4*M4*$J$20)))</f>
        <v>0</v>
      </c>
    </row>
    <row r="6" spans="1:17">
      <c r="A6" s="209"/>
      <c r="B6" t="s">
        <v>63</v>
      </c>
      <c r="C6" s="214">
        <f>'Work Scope'!$N$15</f>
        <v>0</v>
      </c>
      <c r="D6" s="217">
        <v>0.46514526899999997</v>
      </c>
      <c r="E6" s="217">
        <v>0</v>
      </c>
      <c r="F6" s="181">
        <f>'Work Scope'!T15</f>
        <v>0</v>
      </c>
      <c r="G6" s="215">
        <f>IF(F6=0,0,D6*F6)</f>
        <v>0</v>
      </c>
      <c r="H6" s="209"/>
      <c r="I6" t="s">
        <v>63</v>
      </c>
      <c r="J6" s="214">
        <f>'Work Scope'!$N$15</f>
        <v>0</v>
      </c>
      <c r="K6" s="217">
        <v>0.124007352</v>
      </c>
      <c r="L6" s="217">
        <v>3.6800904000000002E-2</v>
      </c>
      <c r="M6" s="215">
        <f>'Work Scope'!$T$15</f>
        <v>0</v>
      </c>
      <c r="N6" s="215">
        <f>IF(M6=0,0,IF('Project Information'!$J$9="X",((K6*M6)+(L6*M6*$J$20)),(L6*M6*$J$20)))</f>
        <v>0</v>
      </c>
    </row>
    <row r="7" spans="1:17">
      <c r="A7" s="601"/>
      <c r="B7" t="s">
        <v>1492</v>
      </c>
      <c r="C7" s="214">
        <f>'Work Scope'!$N$18</f>
        <v>0</v>
      </c>
      <c r="D7" s="217">
        <v>0.235719346</v>
      </c>
      <c r="E7" s="217">
        <v>0</v>
      </c>
      <c r="F7" s="215">
        <f>'Work Scope'!$T$18</f>
        <v>0</v>
      </c>
      <c r="G7" s="215">
        <f>IF(F7=0,0,D6*F7)</f>
        <v>0</v>
      </c>
      <c r="H7" s="601"/>
      <c r="I7" t="s">
        <v>1492</v>
      </c>
      <c r="J7" s="214">
        <f>'Work Scope'!$N$18</f>
        <v>0</v>
      </c>
      <c r="K7" s="217">
        <v>4.4342560000000003E-2</v>
      </c>
      <c r="L7" s="217">
        <v>1.7567793000000002E-2</v>
      </c>
      <c r="M7" s="215">
        <f>'Work Scope'!$T$18</f>
        <v>0</v>
      </c>
      <c r="N7" s="215">
        <f>IF(M7=0,0,IF('Project Information'!$J$9="X",((K7*M7)+(L7*M7*$J$20)),(L7*M7*$J$20)))</f>
        <v>0</v>
      </c>
    </row>
    <row r="8" spans="1:17">
      <c r="A8" s="209"/>
      <c r="B8" t="s">
        <v>38</v>
      </c>
      <c r="C8" s="214">
        <f>'Work Scope'!$N$21</f>
        <v>0</v>
      </c>
      <c r="D8" s="217">
        <v>1.698641751</v>
      </c>
      <c r="E8" s="217">
        <v>0</v>
      </c>
      <c r="F8" s="215">
        <f>'Work Scope'!$T$21</f>
        <v>0</v>
      </c>
      <c r="G8" s="215">
        <f t="shared" si="0"/>
        <v>0</v>
      </c>
      <c r="H8" s="209"/>
      <c r="I8" t="s">
        <v>38</v>
      </c>
      <c r="J8" s="214">
        <f>'Work Scope'!$N$21</f>
        <v>0</v>
      </c>
      <c r="K8" s="217">
        <v>0.25247539400000002</v>
      </c>
      <c r="L8" s="217">
        <v>9.8864967999999998E-2</v>
      </c>
      <c r="M8" s="215">
        <f>'Work Scope'!$T$21</f>
        <v>0</v>
      </c>
      <c r="N8" s="215">
        <f>IF(M8=0,0,IF('Project Information'!$J$9="X",((K8*M8)+(L8*M8*$J$20)),(L8*M8*$J$20)))</f>
        <v>0</v>
      </c>
    </row>
    <row r="9" spans="1:17">
      <c r="A9" s="209"/>
      <c r="B9" t="s">
        <v>40</v>
      </c>
      <c r="C9" s="214">
        <f>'Work Scope'!$N$23</f>
        <v>0</v>
      </c>
      <c r="D9" s="217">
        <v>1.34101822</v>
      </c>
      <c r="E9" s="217">
        <v>0</v>
      </c>
      <c r="F9" s="215">
        <f>'Work Scope'!$T$23</f>
        <v>0</v>
      </c>
      <c r="G9" s="215">
        <f t="shared" si="0"/>
        <v>0</v>
      </c>
      <c r="H9" s="209"/>
      <c r="I9" t="s">
        <v>40</v>
      </c>
      <c r="J9" s="214">
        <f>'Work Scope'!$N$23</f>
        <v>0</v>
      </c>
      <c r="K9" s="217">
        <v>0.24234946399999999</v>
      </c>
      <c r="L9" s="217">
        <v>9.5291181000000003E-2</v>
      </c>
      <c r="M9" s="215">
        <f>'Work Scope'!$T$23</f>
        <v>0</v>
      </c>
      <c r="N9" s="215">
        <f>IF(M9=0,0,IF('Project Information'!$J$9="X",((K9*M9)+(L9*M9*$J$20)),(L9*M9*$J$20)))</f>
        <v>0</v>
      </c>
    </row>
    <row r="10" spans="1:17">
      <c r="A10" s="209"/>
      <c r="B10" t="s">
        <v>39</v>
      </c>
      <c r="C10" s="214">
        <f>'Work Scope'!$N$25</f>
        <v>0</v>
      </c>
      <c r="D10" s="217">
        <v>0.91538893200000004</v>
      </c>
      <c r="E10" s="217">
        <v>0</v>
      </c>
      <c r="F10" s="215">
        <f>'Work Scope'!$T$25</f>
        <v>0</v>
      </c>
      <c r="G10" s="215">
        <f t="shared" si="0"/>
        <v>0</v>
      </c>
      <c r="H10" s="209"/>
      <c r="I10" t="s">
        <v>39</v>
      </c>
      <c r="J10" s="214">
        <f>'Work Scope'!$N$25</f>
        <v>0</v>
      </c>
      <c r="K10" s="217">
        <v>0.11943050099999999</v>
      </c>
      <c r="L10" s="217">
        <v>5.8580119E-2</v>
      </c>
      <c r="M10" s="215">
        <f>'Work Scope'!$T$25</f>
        <v>0</v>
      </c>
      <c r="N10" s="215">
        <f>IF(M10=0,0,IF('Project Information'!$J$9="X",((K10*M10)+(L10*M10*$J$20)),(L10*M10*$J$20)))</f>
        <v>0</v>
      </c>
    </row>
    <row r="11" spans="1:17">
      <c r="A11" s="209"/>
      <c r="B11" t="s">
        <v>218</v>
      </c>
      <c r="C11" s="214">
        <f>'Work Scope'!$N$27</f>
        <v>0</v>
      </c>
      <c r="D11" s="217">
        <v>8.7007297640000001</v>
      </c>
      <c r="E11" s="217">
        <v>0</v>
      </c>
      <c r="F11" s="215">
        <f>'Work Scope'!$T$27</f>
        <v>0</v>
      </c>
      <c r="G11" s="215">
        <f t="shared" si="0"/>
        <v>0</v>
      </c>
      <c r="H11" s="209"/>
      <c r="I11" t="s">
        <v>218</v>
      </c>
      <c r="J11" s="214">
        <f>'Work Scope'!$N$27</f>
        <v>0</v>
      </c>
      <c r="K11" s="217">
        <v>1.0661433948150301</v>
      </c>
      <c r="L11" s="217">
        <v>0.58496504599999999</v>
      </c>
      <c r="M11" s="215">
        <f>'Work Scope'!$T$27</f>
        <v>0</v>
      </c>
      <c r="N11" s="215">
        <f>IF(M11=0,0,IF('Project Information'!$J$9="X",((K11*M11)+(L11*M11*$J$20)),(L11*M11*$J$20)))</f>
        <v>0</v>
      </c>
    </row>
    <row r="12" spans="1:17">
      <c r="A12" s="209"/>
      <c r="B12" t="s">
        <v>69</v>
      </c>
      <c r="C12" s="214">
        <f>'Work Scope'!$N$29</f>
        <v>0</v>
      </c>
      <c r="D12" s="217">
        <v>1074.225899</v>
      </c>
      <c r="E12" s="217">
        <v>0</v>
      </c>
      <c r="F12" s="215">
        <f>'Work Scope'!$T$29</f>
        <v>0</v>
      </c>
      <c r="G12" s="215">
        <f t="shared" si="0"/>
        <v>0</v>
      </c>
      <c r="H12" s="209"/>
      <c r="I12" t="s">
        <v>69</v>
      </c>
      <c r="J12" s="214">
        <f>'Work Scope'!$N$29</f>
        <v>0</v>
      </c>
      <c r="K12" s="217">
        <v>642.1759753</v>
      </c>
      <c r="L12" s="217">
        <v>334.8526627</v>
      </c>
      <c r="M12" s="215">
        <f>'Work Scope'!$T$29</f>
        <v>0</v>
      </c>
      <c r="N12" s="215">
        <f>IF(M12=0,0,IF('Project Information'!$J$9="X",((K12*M12)+(L12*M12*$J$20)),(L12*M12*$J$20)))</f>
        <v>0</v>
      </c>
    </row>
    <row r="13" spans="1:17">
      <c r="A13" s="209">
        <v>1406</v>
      </c>
      <c r="B13" t="s">
        <v>41</v>
      </c>
      <c r="C13" s="214">
        <f>'Work Scope'!$T$37</f>
        <v>0</v>
      </c>
      <c r="D13" s="217">
        <v>1339.9822300000001</v>
      </c>
      <c r="E13" s="217">
        <v>0</v>
      </c>
      <c r="F13" s="215">
        <f>'Work Scope'!$T$37</f>
        <v>0</v>
      </c>
      <c r="G13" s="215">
        <f t="shared" si="0"/>
        <v>0</v>
      </c>
      <c r="H13" s="209"/>
      <c r="I13" t="s">
        <v>41</v>
      </c>
      <c r="J13" s="214">
        <f>'Work Scope'!$T$37</f>
        <v>0</v>
      </c>
      <c r="K13" s="217">
        <v>224.0992674</v>
      </c>
      <c r="L13" s="217">
        <v>69.524033579999994</v>
      </c>
      <c r="M13" s="215">
        <f>'Work Scope'!$T$37</f>
        <v>0</v>
      </c>
      <c r="N13" s="215">
        <f>IF(M13=0,0,IF('Project Information'!$J$9="X",((K13*M13)+(L13*M13*$J$20)),(L13*M13*$J$20)))</f>
        <v>0</v>
      </c>
    </row>
    <row r="14" spans="1:17">
      <c r="A14" s="209"/>
      <c r="E14" s="7" t="s">
        <v>491</v>
      </c>
      <c r="G14" s="234">
        <f>SUM(G4:G13)</f>
        <v>0</v>
      </c>
      <c r="H14" s="209"/>
      <c r="L14" s="7" t="s">
        <v>490</v>
      </c>
      <c r="N14" s="234">
        <f>SUM(N4:N13)</f>
        <v>0</v>
      </c>
    </row>
    <row r="15" spans="1:17">
      <c r="A15" s="209"/>
    </row>
    <row r="16" spans="1:17">
      <c r="A16" s="209"/>
      <c r="B16" s="7" t="s">
        <v>95</v>
      </c>
      <c r="H16" s="209"/>
    </row>
    <row r="17" spans="1:11">
      <c r="A17" s="209"/>
      <c r="B17" t="s">
        <v>53</v>
      </c>
      <c r="C17" s="214">
        <f>'Work Scope'!N35</f>
        <v>0</v>
      </c>
      <c r="D17" s="216">
        <v>216.9</v>
      </c>
      <c r="E17" s="216">
        <v>0</v>
      </c>
      <c r="F17" s="215">
        <f>'Work Scope'!T35</f>
        <v>0</v>
      </c>
      <c r="G17" s="215">
        <f>IF(F17=0,0,(D17*F17))</f>
        <v>0</v>
      </c>
      <c r="H17" s="209"/>
      <c r="I17" t="s">
        <v>484</v>
      </c>
    </row>
    <row r="18" spans="1:11">
      <c r="A18" s="209"/>
      <c r="B18" t="s">
        <v>467</v>
      </c>
      <c r="C18" s="214">
        <f>IF(Measures!I38='Work Scope'!D39,'Work Scope'!N39,0)</f>
        <v>0</v>
      </c>
      <c r="D18" s="216">
        <v>2529.4722529999999</v>
      </c>
      <c r="E18" s="216">
        <v>0</v>
      </c>
      <c r="F18" s="215">
        <f>IF(Measures!I38='Work Scope'!D39,'Work Scope'!T39,0)</f>
        <v>0</v>
      </c>
      <c r="G18" s="215">
        <f>IF(F18=0,0,(D18*F18))</f>
        <v>0</v>
      </c>
      <c r="H18" s="209"/>
      <c r="I18" t="s">
        <v>485</v>
      </c>
    </row>
    <row r="19" spans="1:11">
      <c r="A19" s="209"/>
      <c r="B19" t="s">
        <v>468</v>
      </c>
      <c r="C19" s="214">
        <f>IF(Measures!I39='Work Scope'!D39,'Work Scope'!N39,0)</f>
        <v>0</v>
      </c>
      <c r="D19" s="216">
        <v>0</v>
      </c>
      <c r="E19" s="217">
        <v>47.651491630000002</v>
      </c>
      <c r="F19" s="215">
        <f>IF(Measures!I39='Work Scope'!D39,'Work Scope'!T39,0)</f>
        <v>0</v>
      </c>
      <c r="G19" s="215">
        <f>IF(F19=0,0,(E19*F19*J20))</f>
        <v>0</v>
      </c>
      <c r="H19" s="209"/>
      <c r="J19" s="209"/>
      <c r="K19" s="209"/>
    </row>
    <row r="20" spans="1:11" ht="14.4" customHeight="1">
      <c r="A20" s="209"/>
      <c r="B20" t="s">
        <v>43</v>
      </c>
      <c r="C20" s="214">
        <f>'Work Scope'!N41</f>
        <v>0</v>
      </c>
      <c r="D20" s="216">
        <v>233.8057014</v>
      </c>
      <c r="E20" s="216">
        <v>0</v>
      </c>
      <c r="F20" s="215">
        <f>'Work Scope'!T41</f>
        <v>0</v>
      </c>
      <c r="G20" s="215">
        <f>IF(F20=0,0,(D20*F20))</f>
        <v>0</v>
      </c>
      <c r="H20" s="209"/>
      <c r="I20" s="209" t="s">
        <v>497</v>
      </c>
      <c r="J20" s="209">
        <v>29.3</v>
      </c>
      <c r="K20" s="209" t="s">
        <v>496</v>
      </c>
    </row>
    <row r="21" spans="1:11">
      <c r="A21" s="209"/>
      <c r="B21" t="str">
        <f>'Work Scope'!D43</f>
        <v>Heating System 1</v>
      </c>
      <c r="C21" s="214">
        <f>'Work Scope'!N43</f>
        <v>0</v>
      </c>
      <c r="D21" s="216">
        <v>0</v>
      </c>
      <c r="E21" s="216">
        <f>IF('Work Scope'!D43=Measures!I3,277.695,IF('Work Scope'!D43=Measures!I4,582.116,0))</f>
        <v>0</v>
      </c>
      <c r="F21" s="215">
        <f>'Work Scope'!T43</f>
        <v>0</v>
      </c>
      <c r="G21" s="215">
        <f>IF(F21=0,0,(E21*F21*J20))</f>
        <v>0</v>
      </c>
      <c r="H21" s="209"/>
      <c r="I21" s="236"/>
      <c r="J21" s="209"/>
      <c r="K21" s="209"/>
    </row>
    <row r="22" spans="1:11">
      <c r="A22" s="209"/>
      <c r="B22" t="str">
        <f>'Work Scope'!D45</f>
        <v>Heating System 2</v>
      </c>
      <c r="C22" s="214">
        <f>'Work Scope'!N45</f>
        <v>0</v>
      </c>
      <c r="D22" s="216">
        <v>0</v>
      </c>
      <c r="E22" s="216">
        <f>IF('Work Scope'!D45=Measures!I3,277.695,IF('Work Scope'!D45=Measures!I4,582.116,0))</f>
        <v>0</v>
      </c>
      <c r="F22" s="215">
        <f>'Work Scope'!T45</f>
        <v>0</v>
      </c>
      <c r="G22" s="215">
        <f>IF(F22=0,0,(E22*F22*J20))</f>
        <v>0</v>
      </c>
      <c r="H22" s="209"/>
      <c r="I22" s="236"/>
      <c r="J22" s="209"/>
      <c r="K22" s="209"/>
    </row>
    <row r="23" spans="1:11">
      <c r="A23" s="209"/>
      <c r="B23" t="str">
        <f>'Work Scope'!D47</f>
        <v>Cooling System 1</v>
      </c>
      <c r="C23" s="214">
        <f>'Work Scope'!N47</f>
        <v>0</v>
      </c>
      <c r="D23" s="217">
        <f>IF('Work Scope'!D47=Measures!I14,1724.153,IF(AND('Project Information'!D27=Lists!A12,'Work Scope'!D47=Measures!I15),10791.942,IF(AND('Project Information'!D27=Lists!A13,'Work Scope'!D47=Measures!I15),6025.787,0)))</f>
        <v>0</v>
      </c>
      <c r="E23" s="216">
        <v>0</v>
      </c>
      <c r="F23" s="215">
        <f>'Work Scope'!T47</f>
        <v>0</v>
      </c>
      <c r="G23" s="215">
        <f>IF(F23=0,0,(D23*F23))</f>
        <v>0</v>
      </c>
      <c r="H23" s="209"/>
      <c r="I23" s="236"/>
      <c r="J23" s="209"/>
      <c r="K23" s="209"/>
    </row>
    <row r="24" spans="1:11">
      <c r="A24" s="209"/>
      <c r="B24" t="str">
        <f>'Work Scope'!D50</f>
        <v>Cooling System 2</v>
      </c>
      <c r="C24" s="214">
        <f>'Work Scope'!N50</f>
        <v>0</v>
      </c>
      <c r="D24" s="217">
        <f>IF('Work Scope'!D50=Measures!I14,1724.153,IF(AND('Project Information'!D27=Lists!A12,'Work Scope'!D50=Measures!I15),10791.942,IF(AND('Project Information'!D27=Lists!A13,'Work Scope'!D50=Measures!I15),6025.787,0)))</f>
        <v>0</v>
      </c>
      <c r="E24" s="216">
        <v>0</v>
      </c>
      <c r="F24" s="215">
        <f>'Work Scope'!T50</f>
        <v>0</v>
      </c>
      <c r="G24" s="215">
        <f>IF(F24=0,0,(D24*F24))</f>
        <v>0</v>
      </c>
      <c r="H24" s="209"/>
      <c r="I24" s="209"/>
      <c r="J24" s="209"/>
      <c r="K24" s="209"/>
    </row>
    <row r="25" spans="1:11">
      <c r="A25" s="209"/>
      <c r="B25" t="s">
        <v>463</v>
      </c>
      <c r="C25" s="214">
        <v>250</v>
      </c>
      <c r="D25" s="216">
        <v>538.11677210000005</v>
      </c>
      <c r="E25" s="216">
        <v>0</v>
      </c>
      <c r="F25" s="215">
        <f>IF('Work Scope'!D43=Measures!I3,'Work Scope'!T43,0)</f>
        <v>0</v>
      </c>
      <c r="G25" s="215">
        <f>IF(F25=0,0,(D25*F25))</f>
        <v>0</v>
      </c>
      <c r="H25" s="209"/>
      <c r="I25" s="209"/>
      <c r="J25" s="209"/>
      <c r="K25" s="209"/>
    </row>
    <row r="26" spans="1:11">
      <c r="A26" s="209"/>
      <c r="B26" t="s">
        <v>464</v>
      </c>
      <c r="C26" s="213">
        <v>250</v>
      </c>
      <c r="D26" s="216">
        <v>538.11677210000005</v>
      </c>
      <c r="E26" s="216">
        <v>0</v>
      </c>
      <c r="F26" s="215">
        <f>IF('Work Scope'!D45=Measures!I8,'Work Scope'!T45,0)</f>
        <v>0</v>
      </c>
      <c r="G26" s="215">
        <f>IF(F26=0,0,(D26*F26))</f>
        <v>0</v>
      </c>
      <c r="H26" s="209"/>
      <c r="I26" s="209" t="s">
        <v>494</v>
      </c>
      <c r="J26" s="209" t="s">
        <v>495</v>
      </c>
      <c r="K26" s="209"/>
    </row>
    <row r="27" spans="1:11">
      <c r="A27" s="209"/>
      <c r="E27" s="230" t="s">
        <v>488</v>
      </c>
      <c r="G27" s="234">
        <f>SUM(G17:G26)</f>
        <v>0</v>
      </c>
      <c r="H27" s="209" t="e">
        <f>'Work Scope'!X53/'Project Score'!G27</f>
        <v>#DIV/0!</v>
      </c>
      <c r="I27">
        <f>'Work Scope'!X31+'Work Scope'!X53</f>
        <v>0</v>
      </c>
      <c r="J27" t="e">
        <f>I27/G30</f>
        <v>#DIV/0!</v>
      </c>
      <c r="K27" s="209"/>
    </row>
    <row r="28" spans="1:11">
      <c r="E28" s="7" t="s">
        <v>489</v>
      </c>
      <c r="G28" s="215">
        <f>IF(OR('Project Information'!D27=Lists!A10,'Project Information'!D27=Lists!A11),N14,IF(OR('Project Information'!D27=Lists!A12,'Project Information'!D27=Lists!A13),G14,0))</f>
        <v>0</v>
      </c>
      <c r="H28" s="209" t="e">
        <f>'Work Scope'!X31/'Project Score'!G28</f>
        <v>#DIV/0!</v>
      </c>
      <c r="I28" s="209"/>
    </row>
    <row r="30" spans="1:11">
      <c r="B30" t="s">
        <v>493</v>
      </c>
      <c r="G30" s="234">
        <f>SUM(G27:G28)</f>
        <v>0</v>
      </c>
    </row>
    <row r="31" spans="1:11">
      <c r="B31" t="s">
        <v>78</v>
      </c>
      <c r="C31" s="212">
        <f>'Work Scope'!AD66</f>
        <v>0</v>
      </c>
      <c r="D31" s="216">
        <v>0</v>
      </c>
      <c r="E31" s="216">
        <v>0</v>
      </c>
      <c r="F31" s="215">
        <v>1</v>
      </c>
      <c r="G31" s="215">
        <v>0</v>
      </c>
    </row>
    <row r="32" spans="1:11">
      <c r="B32" t="s">
        <v>50</v>
      </c>
      <c r="C32" s="235">
        <f>'Work Scope'!AH79</f>
        <v>0</v>
      </c>
      <c r="D32" s="216">
        <v>0</v>
      </c>
      <c r="E32" s="216">
        <v>0</v>
      </c>
      <c r="F32" s="215">
        <v>1</v>
      </c>
      <c r="G32" s="215">
        <v>0</v>
      </c>
    </row>
    <row r="33" spans="2:7">
      <c r="B33" t="s">
        <v>418</v>
      </c>
      <c r="C33" s="235">
        <f>'Work Scope'!X31+'Work Scope'!X53+'Work Scope'!AD66+'Work Scope'!AD79</f>
        <v>0</v>
      </c>
      <c r="D33" s="216"/>
      <c r="E33" s="216"/>
      <c r="F33" s="215"/>
      <c r="G33" s="215"/>
    </row>
    <row r="34" spans="2:7">
      <c r="B34" s="7" t="s">
        <v>492</v>
      </c>
      <c r="C34" s="242" t="e">
        <f>C33/G30</f>
        <v>#DIV/0!</v>
      </c>
      <c r="D34" s="209"/>
      <c r="F34" s="209"/>
      <c r="G34" s="218"/>
    </row>
    <row r="36" spans="2:7">
      <c r="B36" t="s">
        <v>473</v>
      </c>
    </row>
    <row r="37" spans="2:7">
      <c r="B37" t="s">
        <v>469</v>
      </c>
    </row>
    <row r="38" spans="2:7">
      <c r="B38" t="s">
        <v>482</v>
      </c>
    </row>
  </sheetData>
  <mergeCells count="1">
    <mergeCell ref="A2:B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8CB0B5-722B-4A6E-8AD7-C122640EFEE0}">
  <sheetPr>
    <pageSetUpPr fitToPage="1"/>
  </sheetPr>
  <dimension ref="B1:AQ64"/>
  <sheetViews>
    <sheetView zoomScale="145" zoomScaleNormal="145" workbookViewId="0">
      <selection activeCell="B8" sqref="B8"/>
    </sheetView>
  </sheetViews>
  <sheetFormatPr defaultRowHeight="14.4"/>
  <cols>
    <col min="1" max="1" width="0.88671875" customWidth="1"/>
    <col min="2" max="41" width="2.6640625" customWidth="1"/>
    <col min="42" max="42" width="0.88671875" customWidth="1"/>
  </cols>
  <sheetData>
    <row r="1" spans="2:43" ht="23.4" customHeight="1">
      <c r="B1" s="656" t="s">
        <v>630</v>
      </c>
      <c r="C1" s="656"/>
      <c r="D1" s="656"/>
      <c r="E1" s="656"/>
      <c r="F1" s="656"/>
      <c r="G1" s="656"/>
      <c r="H1" s="656"/>
      <c r="I1" s="656"/>
      <c r="J1" s="656"/>
      <c r="K1" s="656"/>
      <c r="L1" s="656"/>
      <c r="M1" s="656"/>
      <c r="N1" s="656"/>
      <c r="O1" s="656"/>
      <c r="P1" s="656"/>
      <c r="Q1" s="656"/>
      <c r="R1" s="656"/>
      <c r="S1" s="656"/>
      <c r="T1" s="656"/>
      <c r="U1" s="656"/>
      <c r="V1" s="656"/>
      <c r="W1" s="656"/>
      <c r="X1" s="656"/>
      <c r="Y1" s="656"/>
      <c r="Z1" s="656"/>
      <c r="AA1" s="656"/>
      <c r="AB1" s="656"/>
      <c r="AC1" s="656"/>
      <c r="AD1" s="656"/>
      <c r="AE1" s="656"/>
      <c r="AF1" s="656"/>
      <c r="AG1" s="656"/>
      <c r="AH1" s="656"/>
      <c r="AI1" s="656"/>
      <c r="AJ1" s="656"/>
      <c r="AK1" s="656"/>
      <c r="AL1" s="656"/>
      <c r="AM1" s="656"/>
      <c r="AN1" s="656"/>
      <c r="AO1" s="656"/>
    </row>
    <row r="2" spans="2:43" ht="21">
      <c r="B2" s="670" t="s">
        <v>537</v>
      </c>
      <c r="C2" s="670"/>
      <c r="D2" s="670"/>
      <c r="E2" s="670"/>
      <c r="F2" s="670"/>
      <c r="G2" s="670"/>
      <c r="H2" s="670"/>
      <c r="I2" s="670"/>
      <c r="J2" s="670"/>
      <c r="K2" s="670"/>
      <c r="L2" s="670"/>
      <c r="M2" s="670"/>
      <c r="N2" s="670"/>
      <c r="O2" s="670"/>
      <c r="P2" s="670"/>
      <c r="Q2" s="670"/>
      <c r="R2" s="670"/>
      <c r="S2" s="670"/>
      <c r="T2" s="670"/>
      <c r="U2" s="670"/>
      <c r="V2" s="670"/>
      <c r="W2" s="670"/>
      <c r="X2" s="670"/>
      <c r="Y2" s="670"/>
      <c r="Z2" s="670"/>
      <c r="AA2" s="670"/>
      <c r="AB2" s="670"/>
      <c r="AC2" s="670"/>
      <c r="AD2" s="670"/>
      <c r="AE2" s="670"/>
      <c r="AF2" s="670"/>
      <c r="AG2" s="670"/>
      <c r="AH2" s="670"/>
      <c r="AI2" s="670"/>
      <c r="AJ2" s="670"/>
      <c r="AK2" s="670"/>
      <c r="AL2" s="670"/>
      <c r="AM2" s="670"/>
      <c r="AN2" s="670"/>
      <c r="AO2" s="670"/>
    </row>
    <row r="3" spans="2:43" ht="35.4" customHeight="1">
      <c r="B3" s="787" t="s">
        <v>421</v>
      </c>
      <c r="C3" s="787"/>
      <c r="D3" s="787"/>
      <c r="E3" s="787"/>
      <c r="F3" s="787"/>
      <c r="G3" s="787"/>
      <c r="H3" s="787"/>
      <c r="I3" s="787"/>
      <c r="J3" s="787"/>
      <c r="K3" s="787"/>
      <c r="L3" s="787"/>
      <c r="M3" s="787"/>
      <c r="N3" s="787"/>
      <c r="O3" s="787"/>
      <c r="P3" s="787"/>
      <c r="Q3" s="787"/>
      <c r="R3" s="787"/>
      <c r="S3" s="787"/>
      <c r="T3" s="787"/>
      <c r="U3" s="787"/>
      <c r="V3" s="787"/>
      <c r="W3" s="787"/>
      <c r="X3" s="787"/>
      <c r="Y3" s="787"/>
      <c r="Z3" s="787"/>
      <c r="AA3" s="787"/>
      <c r="AB3" s="787"/>
      <c r="AC3" s="787"/>
      <c r="AD3" s="787"/>
      <c r="AE3" s="787"/>
      <c r="AF3" s="787"/>
      <c r="AG3" s="787"/>
      <c r="AH3" s="787"/>
      <c r="AI3" s="787"/>
      <c r="AJ3" s="787"/>
      <c r="AK3" s="787"/>
      <c r="AL3" s="787"/>
      <c r="AM3" s="787"/>
      <c r="AN3" s="787"/>
      <c r="AO3" s="787"/>
    </row>
    <row r="4" spans="2:43">
      <c r="B4" s="788" t="s">
        <v>173</v>
      </c>
      <c r="C4" s="788"/>
      <c r="D4" s="788"/>
      <c r="E4" s="788"/>
      <c r="F4" s="788"/>
      <c r="G4" s="788"/>
      <c r="H4" s="788"/>
      <c r="I4" s="788"/>
      <c r="J4" s="788"/>
      <c r="K4" s="788"/>
      <c r="L4" s="788"/>
      <c r="M4" s="788"/>
      <c r="N4" s="788"/>
      <c r="O4" s="788"/>
      <c r="P4" s="788"/>
      <c r="Q4" s="788"/>
      <c r="R4" s="788"/>
      <c r="S4" s="788"/>
      <c r="T4" s="788"/>
      <c r="U4" s="788"/>
      <c r="V4" s="788"/>
      <c r="W4" s="788"/>
      <c r="X4" s="788"/>
      <c r="Y4" s="788"/>
      <c r="Z4" s="788"/>
      <c r="AA4" s="788"/>
      <c r="AB4" s="788"/>
      <c r="AC4" s="788"/>
      <c r="AD4" s="788"/>
      <c r="AE4" s="789" t="s">
        <v>55</v>
      </c>
      <c r="AF4" s="789"/>
      <c r="AG4" s="789"/>
      <c r="AH4" s="789"/>
      <c r="AI4" s="789"/>
      <c r="AJ4" s="789"/>
      <c r="AK4" s="789"/>
      <c r="AL4" s="789"/>
      <c r="AM4" s="789"/>
      <c r="AN4" s="789"/>
      <c r="AO4" s="789"/>
    </row>
    <row r="5" spans="2:43" ht="18" customHeight="1">
      <c r="B5" s="1154" t="s">
        <v>425</v>
      </c>
      <c r="C5" s="1154"/>
      <c r="D5" s="1154"/>
      <c r="E5" s="1154"/>
      <c r="F5" s="1154"/>
      <c r="G5" s="1154"/>
      <c r="H5" s="1154"/>
      <c r="I5" s="1154"/>
      <c r="J5" s="1154"/>
      <c r="K5" s="1154"/>
      <c r="L5" s="1154"/>
      <c r="M5" s="1154"/>
      <c r="N5" s="1154"/>
      <c r="O5" s="1154"/>
      <c r="P5" s="941" t="str">
        <f>IF(ISBLANK('Project Information'!E6),"",'Project Information'!E6)</f>
        <v/>
      </c>
      <c r="Q5" s="941"/>
      <c r="R5" s="941"/>
      <c r="S5" s="941"/>
      <c r="T5" s="941"/>
      <c r="U5" s="941"/>
      <c r="V5" s="941"/>
      <c r="W5" s="941"/>
      <c r="X5" s="941"/>
      <c r="Y5" s="941" t="str">
        <f>IF(ISBLANK('Project Information'!X6),"",'Project Information'!X6)</f>
        <v/>
      </c>
      <c r="Z5" s="941"/>
      <c r="AA5" s="941"/>
      <c r="AB5" s="941"/>
      <c r="AC5" s="941"/>
      <c r="AD5" s="941"/>
      <c r="AE5" s="203" t="s">
        <v>1</v>
      </c>
      <c r="AF5" s="941" t="str">
        <f>IF(ISBLANK('Project Information'!AK6),"",'Project Information'!AK6)</f>
        <v/>
      </c>
      <c r="AG5" s="941"/>
      <c r="AH5" s="941"/>
      <c r="AI5" s="942" t="str">
        <f>IF(ISBLANK('Project Information'!M12),"",'Project Information'!M12)</f>
        <v/>
      </c>
      <c r="AJ5" s="942"/>
      <c r="AK5" s="942"/>
      <c r="AL5" s="942"/>
      <c r="AM5" s="942"/>
      <c r="AN5" s="942"/>
      <c r="AO5" s="942"/>
    </row>
    <row r="6" spans="2:43" ht="18" customHeight="1">
      <c r="B6" s="940" t="s">
        <v>633</v>
      </c>
      <c r="C6" s="940"/>
      <c r="D6" s="940"/>
      <c r="E6" s="940"/>
      <c r="F6" s="940"/>
      <c r="G6" s="940"/>
      <c r="H6" s="940"/>
      <c r="I6" s="940"/>
      <c r="J6" s="940"/>
      <c r="K6" s="940"/>
      <c r="L6" s="940"/>
      <c r="M6" s="976" t="str">
        <f>IF('Project Information'!G17="","",'Project Information'!G17)</f>
        <v/>
      </c>
      <c r="N6" s="976"/>
      <c r="O6" s="976"/>
      <c r="P6" s="976"/>
      <c r="Q6" s="976"/>
      <c r="R6" s="976"/>
      <c r="S6" s="976"/>
      <c r="T6" s="976"/>
      <c r="U6" s="976"/>
      <c r="V6" s="976"/>
      <c r="W6" s="976"/>
      <c r="X6" s="976"/>
      <c r="Y6" s="976"/>
      <c r="Z6" s="941" t="str">
        <f>IF('Project Information'!G20="","","and")</f>
        <v/>
      </c>
      <c r="AA6" s="941"/>
      <c r="AB6" s="977" t="str">
        <f>IF('Project Information'!G20="","",'Project Information'!G20)</f>
        <v/>
      </c>
      <c r="AC6" s="977"/>
      <c r="AD6" s="977"/>
      <c r="AE6" s="977"/>
      <c r="AF6" s="977"/>
      <c r="AG6" s="977"/>
      <c r="AH6" s="977"/>
      <c r="AI6" s="977"/>
      <c r="AJ6" s="977"/>
      <c r="AK6" s="977"/>
      <c r="AL6" s="977"/>
      <c r="AM6" s="977"/>
      <c r="AN6" s="977"/>
      <c r="AO6" s="301"/>
    </row>
    <row r="7" spans="2:43" ht="3.75" customHeight="1">
      <c r="B7" s="492"/>
      <c r="C7" s="492"/>
      <c r="D7" s="492"/>
      <c r="E7" s="492"/>
      <c r="F7" s="492"/>
      <c r="G7" s="492"/>
      <c r="H7" s="492"/>
      <c r="I7" s="492"/>
      <c r="J7" s="492"/>
      <c r="K7" s="492"/>
      <c r="L7" s="492"/>
      <c r="M7" s="493"/>
      <c r="N7" s="493"/>
      <c r="O7" s="493"/>
      <c r="P7" s="493"/>
      <c r="Q7" s="493"/>
      <c r="R7" s="493"/>
      <c r="S7" s="493"/>
      <c r="T7" s="493"/>
      <c r="U7" s="493"/>
      <c r="V7" s="493"/>
      <c r="W7" s="493"/>
      <c r="X7" s="493"/>
      <c r="Y7" s="493"/>
      <c r="Z7" s="494"/>
      <c r="AA7" s="494"/>
      <c r="AB7" s="495"/>
      <c r="AC7" s="495"/>
      <c r="AD7" s="495"/>
      <c r="AE7" s="495"/>
      <c r="AF7" s="495"/>
      <c r="AG7" s="495"/>
      <c r="AH7" s="495"/>
      <c r="AI7" s="495"/>
      <c r="AJ7" s="495"/>
      <c r="AK7" s="495"/>
      <c r="AL7" s="495"/>
      <c r="AM7" s="495"/>
      <c r="AN7" s="495"/>
      <c r="AO7" s="496"/>
    </row>
    <row r="8" spans="2:43" ht="18" customHeight="1">
      <c r="B8" s="498"/>
      <c r="C8" s="940" t="s">
        <v>1485</v>
      </c>
      <c r="D8" s="940"/>
      <c r="E8" s="940"/>
      <c r="F8" s="940"/>
      <c r="G8" s="940"/>
      <c r="H8" s="940"/>
      <c r="I8" s="940"/>
      <c r="J8" s="940"/>
      <c r="K8" s="940"/>
      <c r="L8" s="940"/>
      <c r="M8" s="940"/>
      <c r="N8" s="940"/>
      <c r="O8" s="940"/>
      <c r="P8" s="940"/>
      <c r="Q8" s="940"/>
      <c r="R8" s="940"/>
      <c r="S8" s="940"/>
      <c r="T8" s="940"/>
      <c r="U8" s="940"/>
      <c r="V8" s="940"/>
      <c r="W8" s="940"/>
      <c r="X8" s="940"/>
      <c r="Y8" s="940"/>
      <c r="Z8" s="940"/>
      <c r="AA8" s="940"/>
      <c r="AB8" s="940"/>
      <c r="AC8" s="940"/>
      <c r="AD8" s="940"/>
      <c r="AE8" s="940"/>
      <c r="AF8" s="940"/>
      <c r="AG8" s="940"/>
      <c r="AH8" s="940"/>
      <c r="AI8" s="940"/>
      <c r="AJ8" s="940"/>
      <c r="AK8" s="940"/>
      <c r="AL8" s="940"/>
      <c r="AM8" s="940"/>
      <c r="AN8" s="940"/>
      <c r="AO8" s="940"/>
    </row>
    <row r="9" spans="2:43" ht="18" customHeight="1">
      <c r="B9" s="497"/>
      <c r="C9" s="940" t="s">
        <v>1486</v>
      </c>
      <c r="D9" s="940"/>
      <c r="E9" s="940"/>
      <c r="F9" s="940"/>
      <c r="G9" s="940"/>
      <c r="H9" s="940"/>
      <c r="I9" s="940"/>
      <c r="J9" s="940"/>
      <c r="K9" s="940"/>
      <c r="L9" s="940"/>
      <c r="M9" s="940"/>
      <c r="N9" s="940"/>
      <c r="O9" s="940"/>
      <c r="P9" s="940"/>
      <c r="Q9" s="940"/>
      <c r="R9" s="940"/>
      <c r="S9" s="940"/>
      <c r="T9" s="940"/>
      <c r="U9" s="940"/>
      <c r="V9" s="940"/>
      <c r="W9" s="940"/>
      <c r="X9" s="940"/>
      <c r="Y9" s="940"/>
      <c r="Z9" s="940"/>
      <c r="AA9" s="1153"/>
      <c r="AB9" s="1153"/>
      <c r="AC9" s="1153"/>
      <c r="AD9" s="1153"/>
      <c r="AE9" s="941"/>
      <c r="AF9" s="941"/>
      <c r="AG9" s="941"/>
      <c r="AH9" s="941"/>
      <c r="AI9" s="941"/>
      <c r="AJ9" s="941"/>
      <c r="AK9" s="941"/>
      <c r="AL9" s="941"/>
      <c r="AM9" s="941"/>
      <c r="AN9" s="941"/>
      <c r="AO9" s="941"/>
    </row>
    <row r="10" spans="2:43" ht="3.75" customHeight="1" thickBot="1">
      <c r="B10" s="796"/>
      <c r="C10" s="796"/>
      <c r="D10" s="796"/>
      <c r="E10" s="796"/>
      <c r="F10" s="796"/>
      <c r="G10" s="796"/>
      <c r="H10" s="796"/>
      <c r="I10" s="796"/>
      <c r="J10" s="796"/>
      <c r="K10" s="796"/>
      <c r="L10" s="796"/>
      <c r="M10" s="796"/>
      <c r="N10" s="796"/>
      <c r="O10" s="796"/>
      <c r="P10" s="796"/>
      <c r="Q10" s="796"/>
      <c r="R10" s="796"/>
      <c r="S10" s="796"/>
      <c r="T10" s="796"/>
      <c r="U10" s="796"/>
      <c r="V10" s="796"/>
      <c r="W10" s="796"/>
      <c r="X10" s="796"/>
      <c r="Y10" s="796"/>
      <c r="Z10" s="796"/>
      <c r="AA10" s="796"/>
      <c r="AB10" s="796"/>
      <c r="AC10" s="796"/>
      <c r="AD10" s="796"/>
      <c r="AE10" s="796"/>
      <c r="AF10" s="796"/>
      <c r="AG10" s="796"/>
      <c r="AH10" s="796"/>
      <c r="AI10" s="796"/>
      <c r="AJ10" s="796"/>
      <c r="AK10" s="796"/>
      <c r="AL10" s="796"/>
      <c r="AM10" s="796"/>
      <c r="AN10" s="796"/>
      <c r="AO10" s="796"/>
    </row>
    <row r="11" spans="2:43" ht="21.75" customHeight="1">
      <c r="B11" s="639" t="s">
        <v>538</v>
      </c>
      <c r="C11" s="640"/>
      <c r="D11" s="640"/>
      <c r="E11" s="640"/>
      <c r="F11" s="640"/>
      <c r="G11" s="640"/>
      <c r="H11" s="640"/>
      <c r="I11" s="640"/>
      <c r="J11" s="640"/>
      <c r="K11" s="640"/>
      <c r="L11" s="640"/>
      <c r="M11" s="640"/>
      <c r="N11" s="640"/>
      <c r="O11" s="640"/>
      <c r="P11" s="640"/>
      <c r="Q11" s="640"/>
      <c r="R11" s="640"/>
      <c r="S11" s="640"/>
      <c r="T11" s="640"/>
      <c r="U11" s="640"/>
      <c r="V11" s="640"/>
      <c r="W11" s="640"/>
      <c r="X11" s="640"/>
      <c r="Y11" s="640"/>
      <c r="Z11" s="640"/>
      <c r="AA11" s="640"/>
      <c r="AB11" s="640"/>
      <c r="AC11" s="640"/>
      <c r="AD11" s="640"/>
      <c r="AE11" s="640"/>
      <c r="AF11" s="640"/>
      <c r="AG11" s="640"/>
      <c r="AH11" s="640"/>
      <c r="AI11" s="640"/>
      <c r="AJ11" s="640"/>
      <c r="AK11" s="640"/>
      <c r="AL11" s="640"/>
      <c r="AM11" s="640"/>
      <c r="AN11" s="640"/>
      <c r="AO11" s="641"/>
    </row>
    <row r="12" spans="2:43" s="5" customFormat="1" ht="27.6" customHeight="1">
      <c r="B12" s="797" t="s">
        <v>108</v>
      </c>
      <c r="C12" s="798"/>
      <c r="D12" s="799" t="s">
        <v>109</v>
      </c>
      <c r="E12" s="799"/>
      <c r="F12" s="799"/>
      <c r="G12" s="799"/>
      <c r="H12" s="799"/>
      <c r="I12" s="799"/>
      <c r="J12" s="799"/>
      <c r="K12" s="799"/>
      <c r="L12" s="799"/>
      <c r="M12" s="799"/>
      <c r="N12" s="798" t="s">
        <v>110</v>
      </c>
      <c r="O12" s="798"/>
      <c r="P12" s="798"/>
      <c r="Q12" s="798"/>
      <c r="R12" s="798"/>
      <c r="S12" s="798"/>
      <c r="T12" s="799" t="s">
        <v>111</v>
      </c>
      <c r="U12" s="799"/>
      <c r="V12" s="799"/>
      <c r="W12" s="799"/>
      <c r="X12" s="799" t="s">
        <v>112</v>
      </c>
      <c r="Y12" s="799"/>
      <c r="Z12" s="799"/>
      <c r="AA12" s="799"/>
      <c r="AB12" s="799"/>
      <c r="AC12" s="799"/>
      <c r="AD12" s="799" t="s">
        <v>477</v>
      </c>
      <c r="AE12" s="799"/>
      <c r="AF12" s="799"/>
      <c r="AG12" s="799"/>
      <c r="AH12" s="799"/>
      <c r="AI12" s="799"/>
      <c r="AJ12" s="798" t="s">
        <v>479</v>
      </c>
      <c r="AK12" s="798"/>
      <c r="AL12" s="798"/>
      <c r="AM12" s="798"/>
      <c r="AN12" s="798"/>
      <c r="AO12" s="800"/>
      <c r="AQ12" s="251"/>
    </row>
    <row r="13" spans="2:43" s="5" customFormat="1" ht="27.6" customHeight="1">
      <c r="B13" s="812"/>
      <c r="C13" s="813"/>
      <c r="D13" s="745" t="s">
        <v>359</v>
      </c>
      <c r="E13" s="745"/>
      <c r="F13" s="745"/>
      <c r="G13" s="745"/>
      <c r="H13" s="745"/>
      <c r="I13" s="745"/>
      <c r="J13" s="745"/>
      <c r="K13" s="745"/>
      <c r="L13" s="745"/>
      <c r="M13" s="745"/>
      <c r="N13" s="746">
        <f>IF(T13=1,X13,0)</f>
        <v>0</v>
      </c>
      <c r="O13" s="747"/>
      <c r="P13" s="747"/>
      <c r="Q13" s="748" t="s">
        <v>147</v>
      </c>
      <c r="R13" s="748"/>
      <c r="S13" s="749"/>
      <c r="T13" s="1136"/>
      <c r="U13" s="1136"/>
      <c r="V13" s="1136"/>
      <c r="W13" s="1137"/>
      <c r="X13" s="1138"/>
      <c r="Y13" s="1139"/>
      <c r="Z13" s="1139"/>
      <c r="AA13" s="1139"/>
      <c r="AB13" s="1139"/>
      <c r="AC13" s="1140"/>
      <c r="AD13" s="1141" t="str">
        <f>IF(ISBLANK(X13),"",N13*T13)</f>
        <v/>
      </c>
      <c r="AE13" s="1142"/>
      <c r="AF13" s="1142"/>
      <c r="AG13" s="1142"/>
      <c r="AH13" s="1142"/>
      <c r="AI13" s="1143"/>
      <c r="AJ13" s="1142" t="str">
        <f>IF(ISBLANK(X13),"",X13-AD13)</f>
        <v/>
      </c>
      <c r="AK13" s="1142"/>
      <c r="AL13" s="1142"/>
      <c r="AM13" s="1142"/>
      <c r="AN13" s="1142"/>
      <c r="AO13" s="1144"/>
    </row>
    <row r="14" spans="2:43" s="5" customFormat="1" ht="21.6" customHeight="1">
      <c r="B14" s="816"/>
      <c r="C14" s="817"/>
      <c r="D14" s="1150" t="s">
        <v>123</v>
      </c>
      <c r="E14" s="1151"/>
      <c r="F14" s="1151"/>
      <c r="G14" s="1151"/>
      <c r="H14" s="1124"/>
      <c r="I14" s="1124"/>
      <c r="J14" s="1124"/>
      <c r="K14" s="1124"/>
      <c r="L14" s="1124"/>
      <c r="M14" s="1149"/>
      <c r="N14" s="1151" t="s">
        <v>100</v>
      </c>
      <c r="O14" s="1151"/>
      <c r="P14" s="1151"/>
      <c r="Q14" s="1151"/>
      <c r="R14" s="1151"/>
      <c r="S14" s="1151"/>
      <c r="T14" s="1151"/>
      <c r="U14" s="1124"/>
      <c r="V14" s="1124"/>
      <c r="W14" s="1124"/>
      <c r="X14" s="1124"/>
      <c r="Y14" s="1124"/>
      <c r="Z14" s="1124"/>
      <c r="AA14" s="1124"/>
      <c r="AB14" s="1124"/>
      <c r="AC14" s="1149"/>
      <c r="AD14" s="1126" t="s">
        <v>148</v>
      </c>
      <c r="AE14" s="1127"/>
      <c r="AF14" s="1127"/>
      <c r="AG14" s="1127"/>
      <c r="AH14" s="1127"/>
      <c r="AI14" s="1146"/>
      <c r="AJ14" s="1146"/>
      <c r="AK14" s="1146"/>
      <c r="AL14" s="1146"/>
      <c r="AM14" s="1146"/>
      <c r="AN14" s="1146"/>
      <c r="AO14" s="1152"/>
    </row>
    <row r="15" spans="2:43" s="2" customFormat="1" ht="27.6" customHeight="1">
      <c r="B15" s="812"/>
      <c r="C15" s="813"/>
      <c r="D15" s="745" t="s">
        <v>540</v>
      </c>
      <c r="E15" s="745"/>
      <c r="F15" s="745"/>
      <c r="G15" s="745"/>
      <c r="H15" s="745"/>
      <c r="I15" s="745"/>
      <c r="J15" s="745"/>
      <c r="K15" s="745"/>
      <c r="L15" s="745"/>
      <c r="M15" s="745"/>
      <c r="N15" s="746">
        <f>IF(T15=1,X15,0)</f>
        <v>0</v>
      </c>
      <c r="O15" s="747"/>
      <c r="P15" s="747"/>
      <c r="Q15" s="748" t="s">
        <v>147</v>
      </c>
      <c r="R15" s="748"/>
      <c r="S15" s="749"/>
      <c r="T15" s="1136"/>
      <c r="U15" s="1136"/>
      <c r="V15" s="1136"/>
      <c r="W15" s="1137"/>
      <c r="X15" s="1138"/>
      <c r="Y15" s="1139"/>
      <c r="Z15" s="1139"/>
      <c r="AA15" s="1139"/>
      <c r="AB15" s="1139"/>
      <c r="AC15" s="1140"/>
      <c r="AD15" s="1141" t="str">
        <f>IF(ISBLANK(T15),"",N15*T15)</f>
        <v/>
      </c>
      <c r="AE15" s="1142"/>
      <c r="AF15" s="1142"/>
      <c r="AG15" s="1142"/>
      <c r="AH15" s="1142"/>
      <c r="AI15" s="1143"/>
      <c r="AJ15" s="1142" t="str">
        <f>IF(ISBLANK(T15),"",X15-AD15)</f>
        <v/>
      </c>
      <c r="AK15" s="1142"/>
      <c r="AL15" s="1142"/>
      <c r="AM15" s="1142"/>
      <c r="AN15" s="1142"/>
      <c r="AO15" s="1144"/>
      <c r="AQ15" s="189"/>
    </row>
    <row r="16" spans="2:43" s="2" customFormat="1" ht="18" customHeight="1">
      <c r="B16" s="816"/>
      <c r="C16" s="817"/>
      <c r="D16" s="1150" t="s">
        <v>123</v>
      </c>
      <c r="E16" s="1151"/>
      <c r="F16" s="1151"/>
      <c r="G16" s="1151"/>
      <c r="H16" s="1124"/>
      <c r="I16" s="1124"/>
      <c r="J16" s="1124"/>
      <c r="K16" s="1124"/>
      <c r="L16" s="1124"/>
      <c r="M16" s="1149"/>
      <c r="N16" s="1145" t="s">
        <v>217</v>
      </c>
      <c r="O16" s="1145"/>
      <c r="P16" s="1145"/>
      <c r="Q16" s="1145"/>
      <c r="R16" s="1124"/>
      <c r="S16" s="1124"/>
      <c r="T16" s="1124"/>
      <c r="U16" s="1126" t="s">
        <v>100</v>
      </c>
      <c r="V16" s="1127"/>
      <c r="W16" s="1127"/>
      <c r="X16" s="1127"/>
      <c r="Y16" s="1146"/>
      <c r="Z16" s="1146"/>
      <c r="AA16" s="1146"/>
      <c r="AB16" s="1146"/>
      <c r="AC16" s="1146"/>
      <c r="AD16" s="1146"/>
      <c r="AE16" s="1147"/>
      <c r="AF16" s="1148" t="s">
        <v>148</v>
      </c>
      <c r="AG16" s="1148"/>
      <c r="AH16" s="1148"/>
      <c r="AI16" s="1124"/>
      <c r="AJ16" s="1124"/>
      <c r="AK16" s="1124"/>
      <c r="AL16" s="1124"/>
      <c r="AM16" s="1124"/>
      <c r="AN16" s="1124"/>
      <c r="AO16" s="1125"/>
    </row>
    <row r="17" spans="2:41" s="2" customFormat="1" ht="27.6" customHeight="1">
      <c r="B17" s="812"/>
      <c r="C17" s="813"/>
      <c r="D17" s="745" t="s">
        <v>381</v>
      </c>
      <c r="E17" s="745"/>
      <c r="F17" s="745"/>
      <c r="G17" s="745"/>
      <c r="H17" s="745"/>
      <c r="I17" s="745"/>
      <c r="J17" s="745"/>
      <c r="K17" s="745"/>
      <c r="L17" s="745"/>
      <c r="M17" s="745"/>
      <c r="N17" s="746">
        <f>IF(T17=1,X17,0)</f>
        <v>0</v>
      </c>
      <c r="O17" s="747"/>
      <c r="P17" s="747"/>
      <c r="Q17" s="748" t="s">
        <v>147</v>
      </c>
      <c r="R17" s="748"/>
      <c r="S17" s="749"/>
      <c r="T17" s="1136"/>
      <c r="U17" s="1136"/>
      <c r="V17" s="1136"/>
      <c r="W17" s="1137"/>
      <c r="X17" s="1138"/>
      <c r="Y17" s="1139"/>
      <c r="Z17" s="1139"/>
      <c r="AA17" s="1139"/>
      <c r="AB17" s="1139"/>
      <c r="AC17" s="1140"/>
      <c r="AD17" s="1141" t="str">
        <f>IF(ISBLANK(T17),"",N17*T17)</f>
        <v/>
      </c>
      <c r="AE17" s="1142"/>
      <c r="AF17" s="1142"/>
      <c r="AG17" s="1142"/>
      <c r="AH17" s="1142"/>
      <c r="AI17" s="1143"/>
      <c r="AJ17" s="1142" t="str">
        <f>IF(ISBLANK(T17),"",X17-AD17)</f>
        <v/>
      </c>
      <c r="AK17" s="1142"/>
      <c r="AL17" s="1142"/>
      <c r="AM17" s="1142"/>
      <c r="AN17" s="1142"/>
      <c r="AO17" s="1144"/>
    </row>
    <row r="18" spans="2:41" s="2" customFormat="1" ht="18" customHeight="1">
      <c r="B18" s="816"/>
      <c r="C18" s="817"/>
      <c r="D18" s="1150" t="s">
        <v>123</v>
      </c>
      <c r="E18" s="1151"/>
      <c r="F18" s="1151"/>
      <c r="G18" s="1151"/>
      <c r="H18" s="1124"/>
      <c r="I18" s="1124"/>
      <c r="J18" s="1124"/>
      <c r="K18" s="1124"/>
      <c r="L18" s="1124"/>
      <c r="M18" s="1149"/>
      <c r="N18" s="1145" t="s">
        <v>217</v>
      </c>
      <c r="O18" s="1145"/>
      <c r="P18" s="1145"/>
      <c r="Q18" s="1145"/>
      <c r="R18" s="1124"/>
      <c r="S18" s="1124"/>
      <c r="T18" s="1124"/>
      <c r="U18" s="1126" t="s">
        <v>100</v>
      </c>
      <c r="V18" s="1127"/>
      <c r="W18" s="1127"/>
      <c r="X18" s="1127"/>
      <c r="Y18" s="1146"/>
      <c r="Z18" s="1146"/>
      <c r="AA18" s="1146"/>
      <c r="AB18" s="1146"/>
      <c r="AC18" s="1146"/>
      <c r="AD18" s="1146"/>
      <c r="AE18" s="1147"/>
      <c r="AF18" s="1148" t="s">
        <v>148</v>
      </c>
      <c r="AG18" s="1148"/>
      <c r="AH18" s="1148"/>
      <c r="AI18" s="1124"/>
      <c r="AJ18" s="1124"/>
      <c r="AK18" s="1124"/>
      <c r="AL18" s="1124"/>
      <c r="AM18" s="1124"/>
      <c r="AN18" s="1124"/>
      <c r="AO18" s="1125"/>
    </row>
    <row r="19" spans="2:41" s="2" customFormat="1" ht="27.6" customHeight="1">
      <c r="B19" s="812"/>
      <c r="C19" s="813"/>
      <c r="D19" s="825" t="s">
        <v>82</v>
      </c>
      <c r="E19" s="825"/>
      <c r="F19" s="825"/>
      <c r="G19" s="825"/>
      <c r="H19" s="825"/>
      <c r="I19" s="825"/>
      <c r="J19" s="825"/>
      <c r="K19" s="825"/>
      <c r="L19" s="825"/>
      <c r="M19" s="825"/>
      <c r="N19" s="869">
        <f>IF(T19=1,X19,0)</f>
        <v>0</v>
      </c>
      <c r="O19" s="870"/>
      <c r="P19" s="870"/>
      <c r="Q19" s="748" t="s">
        <v>147</v>
      </c>
      <c r="R19" s="748"/>
      <c r="S19" s="749"/>
      <c r="T19" s="1136"/>
      <c r="U19" s="1136"/>
      <c r="V19" s="1136"/>
      <c r="W19" s="1137"/>
      <c r="X19" s="1138"/>
      <c r="Y19" s="1139"/>
      <c r="Z19" s="1139"/>
      <c r="AA19" s="1139"/>
      <c r="AB19" s="1139"/>
      <c r="AC19" s="1140"/>
      <c r="AD19" s="1141" t="str">
        <f>IF(ISBLANK(T19),"",N19*T19)</f>
        <v/>
      </c>
      <c r="AE19" s="1142"/>
      <c r="AF19" s="1142"/>
      <c r="AG19" s="1142"/>
      <c r="AH19" s="1142"/>
      <c r="AI19" s="1143"/>
      <c r="AJ19" s="1142" t="str">
        <f>IF(ISBLANK(T19),"",X19-AD19)</f>
        <v/>
      </c>
      <c r="AK19" s="1142"/>
      <c r="AL19" s="1142"/>
      <c r="AM19" s="1142"/>
      <c r="AN19" s="1142"/>
      <c r="AO19" s="1144"/>
    </row>
    <row r="20" spans="2:41" s="2" customFormat="1" ht="18" customHeight="1">
      <c r="B20" s="814"/>
      <c r="C20" s="815"/>
      <c r="D20" s="734" t="s">
        <v>100</v>
      </c>
      <c r="E20" s="735"/>
      <c r="F20" s="735"/>
      <c r="G20" s="735"/>
      <c r="H20" s="850"/>
      <c r="I20" s="850"/>
      <c r="J20" s="850"/>
      <c r="K20" s="850"/>
      <c r="L20" s="850"/>
      <c r="M20" s="851"/>
      <c r="N20" s="857" t="s">
        <v>148</v>
      </c>
      <c r="O20" s="795"/>
      <c r="P20" s="850"/>
      <c r="Q20" s="850"/>
      <c r="R20" s="850"/>
      <c r="S20" s="850"/>
      <c r="T20" s="850"/>
      <c r="U20" s="851"/>
      <c r="V20" s="795" t="s">
        <v>158</v>
      </c>
      <c r="W20" s="795"/>
      <c r="X20" s="867"/>
      <c r="Y20" s="867"/>
      <c r="Z20" s="867"/>
      <c r="AA20" s="868"/>
      <c r="AB20" s="857" t="s">
        <v>163</v>
      </c>
      <c r="AC20" s="795"/>
      <c r="AD20" s="858"/>
      <c r="AE20" s="858"/>
      <c r="AF20" s="866"/>
      <c r="AG20" s="803" t="s">
        <v>164</v>
      </c>
      <c r="AH20" s="804"/>
      <c r="AI20" s="943"/>
      <c r="AJ20" s="943"/>
      <c r="AK20" s="944"/>
      <c r="AL20" s="945" t="s">
        <v>165</v>
      </c>
      <c r="AM20" s="945"/>
      <c r="AN20" s="943"/>
      <c r="AO20" s="946"/>
    </row>
    <row r="21" spans="2:41" s="2" customFormat="1" ht="18" customHeight="1" thickBot="1">
      <c r="B21" s="838"/>
      <c r="C21" s="839"/>
      <c r="D21" s="871" t="s">
        <v>99</v>
      </c>
      <c r="E21" s="871"/>
      <c r="F21" s="871"/>
      <c r="G21" s="871"/>
      <c r="H21" s="871"/>
      <c r="I21" s="871"/>
      <c r="J21" s="872"/>
      <c r="K21" s="872"/>
      <c r="L21" s="872"/>
      <c r="M21" s="872"/>
      <c r="N21" s="872"/>
      <c r="O21" s="873"/>
      <c r="P21" s="874" t="s">
        <v>167</v>
      </c>
      <c r="Q21" s="875"/>
      <c r="R21" s="875"/>
      <c r="S21" s="875"/>
      <c r="T21" s="875"/>
      <c r="U21" s="875"/>
      <c r="V21" s="875"/>
      <c r="W21" s="875"/>
      <c r="X21" s="876"/>
      <c r="Y21" s="876"/>
      <c r="Z21" s="876"/>
      <c r="AA21" s="876"/>
      <c r="AB21" s="876"/>
      <c r="AC21" s="877"/>
      <c r="AD21" s="878" t="s">
        <v>166</v>
      </c>
      <c r="AE21" s="878"/>
      <c r="AF21" s="878"/>
      <c r="AG21" s="878"/>
      <c r="AH21" s="878"/>
      <c r="AI21" s="878"/>
      <c r="AJ21" s="878"/>
      <c r="AK21" s="878"/>
      <c r="AL21" s="876"/>
      <c r="AM21" s="876"/>
      <c r="AN21" s="876"/>
      <c r="AO21" s="879"/>
    </row>
    <row r="22" spans="2:41" s="2" customFormat="1" ht="18" customHeight="1" thickTop="1" thickBot="1">
      <c r="B22" s="840" t="s">
        <v>543</v>
      </c>
      <c r="C22" s="841"/>
      <c r="D22" s="841"/>
      <c r="E22" s="841"/>
      <c r="F22" s="841"/>
      <c r="G22" s="841"/>
      <c r="H22" s="841"/>
      <c r="I22" s="841"/>
      <c r="J22" s="841"/>
      <c r="K22" s="841"/>
      <c r="L22" s="841"/>
      <c r="M22" s="841"/>
      <c r="N22" s="841"/>
      <c r="O22" s="841"/>
      <c r="P22" s="841"/>
      <c r="Q22" s="841"/>
      <c r="R22" s="841"/>
      <c r="S22" s="841"/>
      <c r="T22" s="841"/>
      <c r="U22" s="841"/>
      <c r="V22" s="841"/>
      <c r="W22" s="841"/>
      <c r="X22" s="842">
        <f>X13+X15+X17+X19</f>
        <v>0</v>
      </c>
      <c r="Y22" s="842"/>
      <c r="Z22" s="842"/>
      <c r="AA22" s="842"/>
      <c r="AB22" s="842"/>
      <c r="AC22" s="842"/>
      <c r="AD22" s="843">
        <f>SUM(IF(AD13="",0,AD13)+IF(AD15="",0,AD15)+IF(AD17="",0,AD17)+IF(AD19="",0,AD19))</f>
        <v>0</v>
      </c>
      <c r="AE22" s="843"/>
      <c r="AF22" s="843"/>
      <c r="AG22" s="843"/>
      <c r="AH22" s="843"/>
      <c r="AI22" s="843"/>
      <c r="AJ22" s="843">
        <f>SUM(IF(AJ13="",0,AJ13)+IF(AJ15="",0,AJ15)+IF(AJ17="",0,AJ17)+IF(AJ19="",0,AJ19))</f>
        <v>0</v>
      </c>
      <c r="AK22" s="843"/>
      <c r="AL22" s="843"/>
      <c r="AM22" s="843"/>
      <c r="AN22" s="843"/>
      <c r="AO22" s="844"/>
    </row>
    <row r="23" spans="2:41" s="2" customFormat="1" ht="3.6" customHeight="1" thickBot="1">
      <c r="B23" s="882"/>
      <c r="C23" s="882"/>
      <c r="D23" s="882"/>
      <c r="E23" s="882"/>
      <c r="F23" s="882"/>
      <c r="G23" s="882"/>
      <c r="H23" s="882"/>
      <c r="I23" s="882"/>
      <c r="J23" s="882"/>
      <c r="K23" s="882"/>
      <c r="L23" s="882"/>
      <c r="M23" s="882"/>
      <c r="N23" s="882"/>
      <c r="O23" s="882"/>
      <c r="P23" s="882"/>
      <c r="Q23" s="882"/>
      <c r="R23" s="882"/>
      <c r="S23" s="882"/>
      <c r="T23" s="882"/>
      <c r="U23" s="882"/>
      <c r="V23" s="882"/>
      <c r="W23" s="882"/>
      <c r="X23" s="882"/>
      <c r="Y23" s="882"/>
      <c r="Z23" s="882"/>
      <c r="AA23" s="882"/>
      <c r="AB23" s="882"/>
      <c r="AC23" s="882"/>
      <c r="AD23" s="882"/>
      <c r="AE23" s="882"/>
      <c r="AF23" s="882"/>
      <c r="AG23" s="882"/>
      <c r="AH23" s="882"/>
      <c r="AI23" s="882"/>
      <c r="AJ23" s="882"/>
      <c r="AK23" s="882"/>
      <c r="AL23" s="882"/>
      <c r="AM23" s="882"/>
      <c r="AN23" s="882"/>
      <c r="AO23" s="882"/>
    </row>
    <row r="24" spans="2:41" ht="21.75" customHeight="1">
      <c r="B24" s="639" t="s">
        <v>539</v>
      </c>
      <c r="C24" s="640"/>
      <c r="D24" s="640"/>
      <c r="E24" s="640"/>
      <c r="F24" s="640"/>
      <c r="G24" s="640"/>
      <c r="H24" s="640"/>
      <c r="I24" s="640"/>
      <c r="J24" s="640"/>
      <c r="K24" s="640"/>
      <c r="L24" s="640"/>
      <c r="M24" s="640"/>
      <c r="N24" s="640"/>
      <c r="O24" s="640"/>
      <c r="P24" s="640"/>
      <c r="Q24" s="640"/>
      <c r="R24" s="640"/>
      <c r="S24" s="640"/>
      <c r="T24" s="640"/>
      <c r="U24" s="640"/>
      <c r="V24" s="640"/>
      <c r="W24" s="640"/>
      <c r="X24" s="640"/>
      <c r="Y24" s="640"/>
      <c r="Z24" s="640"/>
      <c r="AA24" s="640"/>
      <c r="AB24" s="640"/>
      <c r="AC24" s="640"/>
      <c r="AD24" s="640"/>
      <c r="AE24" s="640"/>
      <c r="AF24" s="640"/>
      <c r="AG24" s="640"/>
      <c r="AH24" s="640"/>
      <c r="AI24" s="640"/>
      <c r="AJ24" s="640"/>
      <c r="AK24" s="640"/>
      <c r="AL24" s="640"/>
      <c r="AM24" s="640"/>
      <c r="AN24" s="640"/>
      <c r="AO24" s="641"/>
    </row>
    <row r="25" spans="2:41" ht="30" customHeight="1">
      <c r="B25" s="880" t="s">
        <v>108</v>
      </c>
      <c r="C25" s="881"/>
      <c r="D25" s="888" t="s">
        <v>174</v>
      </c>
      <c r="E25" s="886"/>
      <c r="F25" s="886"/>
      <c r="G25" s="886"/>
      <c r="H25" s="886"/>
      <c r="I25" s="886"/>
      <c r="J25" s="886"/>
      <c r="K25" s="886"/>
      <c r="L25" s="886"/>
      <c r="M25" s="886"/>
      <c r="N25" s="886"/>
      <c r="O25" s="886"/>
      <c r="P25" s="886"/>
      <c r="Q25" s="886"/>
      <c r="R25" s="886"/>
      <c r="S25" s="886"/>
      <c r="T25" s="886"/>
      <c r="U25" s="886"/>
      <c r="V25" s="886"/>
      <c r="W25" s="886"/>
      <c r="X25" s="886"/>
      <c r="Y25" s="886"/>
      <c r="Z25" s="886"/>
      <c r="AA25" s="887"/>
      <c r="AB25" s="888" t="s">
        <v>478</v>
      </c>
      <c r="AC25" s="887"/>
      <c r="AD25" s="888" t="s">
        <v>112</v>
      </c>
      <c r="AE25" s="886"/>
      <c r="AF25" s="886"/>
      <c r="AG25" s="887"/>
      <c r="AH25" s="886" t="s">
        <v>477</v>
      </c>
      <c r="AI25" s="886"/>
      <c r="AJ25" s="886"/>
      <c r="AK25" s="887"/>
      <c r="AL25" s="883" t="s">
        <v>479</v>
      </c>
      <c r="AM25" s="884"/>
      <c r="AN25" s="884"/>
      <c r="AO25" s="885"/>
    </row>
    <row r="26" spans="2:41" ht="16.05" customHeight="1">
      <c r="B26" s="768"/>
      <c r="C26" s="769"/>
      <c r="D26" s="770"/>
      <c r="E26" s="771"/>
      <c r="F26" s="771"/>
      <c r="G26" s="771"/>
      <c r="H26" s="771"/>
      <c r="I26" s="771"/>
      <c r="J26" s="771"/>
      <c r="K26" s="771"/>
      <c r="L26" s="771"/>
      <c r="M26" s="771"/>
      <c r="N26" s="771"/>
      <c r="O26" s="771"/>
      <c r="P26" s="771"/>
      <c r="Q26" s="771"/>
      <c r="R26" s="771"/>
      <c r="S26" s="771"/>
      <c r="T26" s="771"/>
      <c r="U26" s="771"/>
      <c r="V26" s="771"/>
      <c r="W26" s="771"/>
      <c r="X26" s="771"/>
      <c r="Y26" s="771"/>
      <c r="Z26" s="771"/>
      <c r="AA26" s="772"/>
      <c r="AB26" s="773"/>
      <c r="AC26" s="774"/>
      <c r="AD26" s="775"/>
      <c r="AE26" s="775"/>
      <c r="AF26" s="775"/>
      <c r="AG26" s="776"/>
      <c r="AH26" s="760" t="str">
        <f>IF(ISBLANK(AD26),"",AD26)</f>
        <v/>
      </c>
      <c r="AI26" s="760"/>
      <c r="AJ26" s="760"/>
      <c r="AK26" s="761"/>
      <c r="AL26" s="760" t="str">
        <f t="shared" ref="AL26:AL30" si="0">IF(ISBLANK(AD26),"",AD26-AH26)</f>
        <v/>
      </c>
      <c r="AM26" s="760"/>
      <c r="AN26" s="760"/>
      <c r="AO26" s="777"/>
    </row>
    <row r="27" spans="2:41" ht="16.05" customHeight="1">
      <c r="B27" s="768"/>
      <c r="C27" s="769"/>
      <c r="D27" s="770"/>
      <c r="E27" s="771"/>
      <c r="F27" s="771"/>
      <c r="G27" s="771"/>
      <c r="H27" s="771"/>
      <c r="I27" s="771"/>
      <c r="J27" s="771"/>
      <c r="K27" s="771"/>
      <c r="L27" s="771"/>
      <c r="M27" s="771"/>
      <c r="N27" s="771"/>
      <c r="O27" s="771"/>
      <c r="P27" s="771"/>
      <c r="Q27" s="771"/>
      <c r="R27" s="771"/>
      <c r="S27" s="771"/>
      <c r="T27" s="771"/>
      <c r="U27" s="771"/>
      <c r="V27" s="771"/>
      <c r="W27" s="771"/>
      <c r="X27" s="771"/>
      <c r="Y27" s="771"/>
      <c r="Z27" s="771"/>
      <c r="AA27" s="772"/>
      <c r="AB27" s="773"/>
      <c r="AC27" s="774"/>
      <c r="AD27" s="775"/>
      <c r="AE27" s="775"/>
      <c r="AF27" s="775"/>
      <c r="AG27" s="776"/>
      <c r="AH27" s="760" t="str">
        <f>IF(ISBLANK(AD27),"",AD27)</f>
        <v/>
      </c>
      <c r="AI27" s="760"/>
      <c r="AJ27" s="760"/>
      <c r="AK27" s="761"/>
      <c r="AL27" s="760" t="str">
        <f t="shared" si="0"/>
        <v/>
      </c>
      <c r="AM27" s="760"/>
      <c r="AN27" s="760"/>
      <c r="AO27" s="777"/>
    </row>
    <row r="28" spans="2:41" ht="16.05" customHeight="1">
      <c r="B28" s="768"/>
      <c r="C28" s="769"/>
      <c r="D28" s="770"/>
      <c r="E28" s="771"/>
      <c r="F28" s="771"/>
      <c r="G28" s="771"/>
      <c r="H28" s="771"/>
      <c r="I28" s="771"/>
      <c r="J28" s="771"/>
      <c r="K28" s="771"/>
      <c r="L28" s="771"/>
      <c r="M28" s="771"/>
      <c r="N28" s="771"/>
      <c r="O28" s="771"/>
      <c r="P28" s="771"/>
      <c r="Q28" s="771"/>
      <c r="R28" s="771"/>
      <c r="S28" s="771"/>
      <c r="T28" s="771"/>
      <c r="U28" s="771"/>
      <c r="V28" s="771"/>
      <c r="W28" s="771"/>
      <c r="X28" s="771"/>
      <c r="Y28" s="771"/>
      <c r="Z28" s="771"/>
      <c r="AA28" s="772"/>
      <c r="AB28" s="773"/>
      <c r="AC28" s="774"/>
      <c r="AD28" s="775"/>
      <c r="AE28" s="775"/>
      <c r="AF28" s="775"/>
      <c r="AG28" s="776"/>
      <c r="AH28" s="760" t="str">
        <f>IF(ISBLANK(AD28),"",AD28)</f>
        <v/>
      </c>
      <c r="AI28" s="760"/>
      <c r="AJ28" s="760"/>
      <c r="AK28" s="761"/>
      <c r="AL28" s="760" t="str">
        <f t="shared" si="0"/>
        <v/>
      </c>
      <c r="AM28" s="760"/>
      <c r="AN28" s="760"/>
      <c r="AO28" s="777"/>
    </row>
    <row r="29" spans="2:41" ht="16.05" customHeight="1">
      <c r="B29" s="768"/>
      <c r="C29" s="769"/>
      <c r="D29" s="770"/>
      <c r="E29" s="771"/>
      <c r="F29" s="771"/>
      <c r="G29" s="771"/>
      <c r="H29" s="771"/>
      <c r="I29" s="771"/>
      <c r="J29" s="771"/>
      <c r="K29" s="771"/>
      <c r="L29" s="771"/>
      <c r="M29" s="771"/>
      <c r="N29" s="771"/>
      <c r="O29" s="771"/>
      <c r="P29" s="771"/>
      <c r="Q29" s="771"/>
      <c r="R29" s="771"/>
      <c r="S29" s="771"/>
      <c r="T29" s="771"/>
      <c r="U29" s="771"/>
      <c r="V29" s="771"/>
      <c r="W29" s="771"/>
      <c r="X29" s="771"/>
      <c r="Y29" s="771"/>
      <c r="Z29" s="771"/>
      <c r="AA29" s="772"/>
      <c r="AB29" s="773"/>
      <c r="AC29" s="774"/>
      <c r="AD29" s="775"/>
      <c r="AE29" s="775"/>
      <c r="AF29" s="775"/>
      <c r="AG29" s="776"/>
      <c r="AH29" s="760" t="str">
        <f>IF(ISBLANK(AD29),"",AD29)</f>
        <v/>
      </c>
      <c r="AI29" s="760"/>
      <c r="AJ29" s="760"/>
      <c r="AK29" s="761"/>
      <c r="AL29" s="760" t="str">
        <f t="shared" si="0"/>
        <v/>
      </c>
      <c r="AM29" s="760"/>
      <c r="AN29" s="760"/>
      <c r="AO29" s="777"/>
    </row>
    <row r="30" spans="2:41" ht="16.05" customHeight="1" thickBot="1">
      <c r="B30" s="783"/>
      <c r="C30" s="784"/>
      <c r="D30" s="956"/>
      <c r="E30" s="957"/>
      <c r="F30" s="957"/>
      <c r="G30" s="957"/>
      <c r="H30" s="957"/>
      <c r="I30" s="957"/>
      <c r="J30" s="957"/>
      <c r="K30" s="957"/>
      <c r="L30" s="957"/>
      <c r="M30" s="957"/>
      <c r="N30" s="957"/>
      <c r="O30" s="957"/>
      <c r="P30" s="957"/>
      <c r="Q30" s="957"/>
      <c r="R30" s="957"/>
      <c r="S30" s="957"/>
      <c r="T30" s="957"/>
      <c r="U30" s="957"/>
      <c r="V30" s="957"/>
      <c r="W30" s="957"/>
      <c r="X30" s="957"/>
      <c r="Y30" s="957"/>
      <c r="Z30" s="957"/>
      <c r="AA30" s="958"/>
      <c r="AB30" s="959"/>
      <c r="AC30" s="960"/>
      <c r="AD30" s="961"/>
      <c r="AE30" s="961"/>
      <c r="AF30" s="961"/>
      <c r="AG30" s="962"/>
      <c r="AH30" s="963" t="str">
        <f>IF(ISBLANK(AD30),"",AD30)</f>
        <v/>
      </c>
      <c r="AI30" s="963"/>
      <c r="AJ30" s="963"/>
      <c r="AK30" s="964"/>
      <c r="AL30" s="963" t="str">
        <f t="shared" si="0"/>
        <v/>
      </c>
      <c r="AM30" s="963"/>
      <c r="AN30" s="963"/>
      <c r="AO30" s="965"/>
    </row>
    <row r="31" spans="2:41" ht="18" customHeight="1" thickTop="1" thickBot="1">
      <c r="B31" s="966" t="s">
        <v>481</v>
      </c>
      <c r="C31" s="967"/>
      <c r="D31" s="967"/>
      <c r="E31" s="967"/>
      <c r="F31" s="967"/>
      <c r="G31" s="967"/>
      <c r="H31" s="967"/>
      <c r="I31" s="967"/>
      <c r="J31" s="967"/>
      <c r="K31" s="967"/>
      <c r="L31" s="967"/>
      <c r="M31" s="967"/>
      <c r="N31" s="967"/>
      <c r="O31" s="967"/>
      <c r="P31" s="967"/>
      <c r="Q31" s="967"/>
      <c r="R31" s="967"/>
      <c r="S31" s="967"/>
      <c r="T31" s="967"/>
      <c r="U31" s="967"/>
      <c r="V31" s="967"/>
      <c r="W31" s="967"/>
      <c r="X31" s="967"/>
      <c r="Y31" s="967"/>
      <c r="Z31" s="967"/>
      <c r="AA31" s="967"/>
      <c r="AB31" s="967"/>
      <c r="AC31" s="968"/>
      <c r="AD31" s="969">
        <f>SUM(AD26:AG30)</f>
        <v>0</v>
      </c>
      <c r="AE31" s="969"/>
      <c r="AF31" s="969"/>
      <c r="AG31" s="970"/>
      <c r="AH31" s="971">
        <f>SUM(AH26:AK30)</f>
        <v>0</v>
      </c>
      <c r="AI31" s="971"/>
      <c r="AJ31" s="971"/>
      <c r="AK31" s="972"/>
      <c r="AL31" s="973">
        <f>SUM(AL26:AO30)</f>
        <v>0</v>
      </c>
      <c r="AM31" s="973"/>
      <c r="AN31" s="973"/>
      <c r="AO31" s="974"/>
    </row>
    <row r="32" spans="2:41" ht="3.6" customHeight="1" thickBot="1">
      <c r="B32" s="762"/>
      <c r="C32" s="762"/>
      <c r="D32" s="762"/>
      <c r="E32" s="762"/>
      <c r="F32" s="762"/>
      <c r="G32" s="762"/>
      <c r="H32" s="762"/>
      <c r="I32" s="762"/>
      <c r="J32" s="762"/>
      <c r="K32" s="762"/>
      <c r="L32" s="762"/>
      <c r="M32" s="762"/>
      <c r="N32" s="762"/>
      <c r="O32" s="762"/>
      <c r="P32" s="762"/>
      <c r="Q32" s="762"/>
      <c r="R32" s="762"/>
      <c r="S32" s="762"/>
      <c r="T32" s="762"/>
      <c r="U32" s="762"/>
      <c r="V32" s="762"/>
      <c r="W32" s="762"/>
      <c r="X32" s="762"/>
      <c r="Y32" s="762"/>
      <c r="Z32" s="762"/>
      <c r="AA32" s="762"/>
      <c r="AB32" s="762"/>
      <c r="AC32" s="762"/>
      <c r="AD32" s="762"/>
      <c r="AE32" s="762"/>
      <c r="AF32" s="762"/>
      <c r="AG32" s="762"/>
      <c r="AH32" s="762"/>
      <c r="AI32" s="762"/>
      <c r="AJ32" s="762"/>
      <c r="AK32" s="762"/>
      <c r="AL32" s="762"/>
      <c r="AM32" s="762"/>
      <c r="AN32" s="762"/>
      <c r="AO32" s="762"/>
    </row>
    <row r="33" spans="2:41" ht="16.05" customHeight="1">
      <c r="B33" s="639" t="s">
        <v>545</v>
      </c>
      <c r="C33" s="640"/>
      <c r="D33" s="640"/>
      <c r="E33" s="640"/>
      <c r="F33" s="640"/>
      <c r="G33" s="640"/>
      <c r="H33" s="640"/>
      <c r="I33" s="640"/>
      <c r="J33" s="640"/>
      <c r="K33" s="640"/>
      <c r="L33" s="640"/>
      <c r="M33" s="640"/>
      <c r="N33" s="640"/>
      <c r="O33" s="640"/>
      <c r="P33" s="640"/>
      <c r="Q33" s="640"/>
      <c r="R33" s="640"/>
      <c r="S33" s="640"/>
      <c r="T33" s="640"/>
      <c r="U33" s="640"/>
      <c r="V33" s="640"/>
      <c r="W33" s="640"/>
      <c r="X33" s="640"/>
      <c r="Y33" s="640"/>
      <c r="Z33" s="640"/>
      <c r="AA33" s="640"/>
      <c r="AB33" s="640"/>
      <c r="AC33" s="640"/>
      <c r="AD33" s="640"/>
      <c r="AE33" s="640"/>
      <c r="AF33" s="640"/>
      <c r="AG33" s="640"/>
      <c r="AH33" s="640"/>
      <c r="AI33" s="640"/>
      <c r="AJ33" s="640"/>
      <c r="AK33" s="640"/>
      <c r="AL33" s="640"/>
      <c r="AM33" s="640"/>
      <c r="AN33" s="640"/>
      <c r="AO33" s="641"/>
    </row>
    <row r="34" spans="2:41" ht="30" customHeight="1">
      <c r="B34" s="880" t="s">
        <v>108</v>
      </c>
      <c r="C34" s="881"/>
      <c r="D34" s="888" t="s">
        <v>174</v>
      </c>
      <c r="E34" s="886"/>
      <c r="F34" s="886"/>
      <c r="G34" s="886"/>
      <c r="H34" s="886"/>
      <c r="I34" s="886"/>
      <c r="J34" s="886"/>
      <c r="K34" s="886"/>
      <c r="L34" s="886"/>
      <c r="M34" s="886"/>
      <c r="N34" s="886"/>
      <c r="O34" s="886"/>
      <c r="P34" s="886"/>
      <c r="Q34" s="886"/>
      <c r="R34" s="886"/>
      <c r="S34" s="886"/>
      <c r="T34" s="886"/>
      <c r="U34" s="886"/>
      <c r="V34" s="886"/>
      <c r="W34" s="886"/>
      <c r="X34" s="886"/>
      <c r="Y34" s="886"/>
      <c r="Z34" s="886"/>
      <c r="AA34" s="887"/>
      <c r="AB34" s="888" t="s">
        <v>478</v>
      </c>
      <c r="AC34" s="887"/>
      <c r="AD34" s="888" t="s">
        <v>112</v>
      </c>
      <c r="AE34" s="886"/>
      <c r="AF34" s="886"/>
      <c r="AG34" s="887"/>
      <c r="AH34" s="886" t="s">
        <v>477</v>
      </c>
      <c r="AI34" s="886"/>
      <c r="AJ34" s="886"/>
      <c r="AK34" s="887"/>
      <c r="AL34" s="883" t="s">
        <v>479</v>
      </c>
      <c r="AM34" s="884"/>
      <c r="AN34" s="884"/>
      <c r="AO34" s="885"/>
    </row>
    <row r="35" spans="2:41" ht="16.05" customHeight="1">
      <c r="B35" s="768"/>
      <c r="C35" s="769"/>
      <c r="D35" s="770"/>
      <c r="E35" s="771"/>
      <c r="F35" s="771"/>
      <c r="G35" s="771"/>
      <c r="H35" s="771"/>
      <c r="I35" s="771"/>
      <c r="J35" s="771"/>
      <c r="K35" s="771"/>
      <c r="L35" s="771"/>
      <c r="M35" s="771"/>
      <c r="N35" s="771"/>
      <c r="O35" s="771"/>
      <c r="P35" s="771"/>
      <c r="Q35" s="771"/>
      <c r="R35" s="771"/>
      <c r="S35" s="771"/>
      <c r="T35" s="771"/>
      <c r="U35" s="771"/>
      <c r="V35" s="771"/>
      <c r="W35" s="771"/>
      <c r="X35" s="771"/>
      <c r="Y35" s="771"/>
      <c r="Z35" s="771"/>
      <c r="AA35" s="772"/>
      <c r="AB35" s="773"/>
      <c r="AC35" s="774"/>
      <c r="AD35" s="775"/>
      <c r="AE35" s="775"/>
      <c r="AF35" s="775"/>
      <c r="AG35" s="776"/>
      <c r="AH35" s="760" t="str">
        <f>IF(ISBLANK(AD35),"",AD35)</f>
        <v/>
      </c>
      <c r="AI35" s="760"/>
      <c r="AJ35" s="760"/>
      <c r="AK35" s="761"/>
      <c r="AL35" s="760" t="str">
        <f t="shared" ref="AL35:AL39" si="1">IF(ISBLANK(AD35),"",AD35-AH35)</f>
        <v/>
      </c>
      <c r="AM35" s="760"/>
      <c r="AN35" s="760"/>
      <c r="AO35" s="777"/>
    </row>
    <row r="36" spans="2:41" ht="16.05" customHeight="1">
      <c r="B36" s="768"/>
      <c r="C36" s="769"/>
      <c r="D36" s="770"/>
      <c r="E36" s="771"/>
      <c r="F36" s="771"/>
      <c r="G36" s="771"/>
      <c r="H36" s="771"/>
      <c r="I36" s="771"/>
      <c r="J36" s="771"/>
      <c r="K36" s="771"/>
      <c r="L36" s="771"/>
      <c r="M36" s="771"/>
      <c r="N36" s="771"/>
      <c r="O36" s="771"/>
      <c r="P36" s="771"/>
      <c r="Q36" s="771"/>
      <c r="R36" s="771"/>
      <c r="S36" s="771"/>
      <c r="T36" s="771"/>
      <c r="U36" s="771"/>
      <c r="V36" s="771"/>
      <c r="W36" s="771"/>
      <c r="X36" s="771"/>
      <c r="Y36" s="771"/>
      <c r="Z36" s="771"/>
      <c r="AA36" s="772"/>
      <c r="AB36" s="773"/>
      <c r="AC36" s="774"/>
      <c r="AD36" s="775"/>
      <c r="AE36" s="775"/>
      <c r="AF36" s="775"/>
      <c r="AG36" s="776"/>
      <c r="AH36" s="760" t="str">
        <f t="shared" ref="AH36:AH39" si="2">IF(ISBLANK(AD36),"",AD36)</f>
        <v/>
      </c>
      <c r="AI36" s="760"/>
      <c r="AJ36" s="760"/>
      <c r="AK36" s="761"/>
      <c r="AL36" s="760" t="str">
        <f t="shared" si="1"/>
        <v/>
      </c>
      <c r="AM36" s="760"/>
      <c r="AN36" s="760"/>
      <c r="AO36" s="777"/>
    </row>
    <row r="37" spans="2:41" ht="16.05" customHeight="1">
      <c r="B37" s="768"/>
      <c r="C37" s="769"/>
      <c r="D37" s="770"/>
      <c r="E37" s="771"/>
      <c r="F37" s="771"/>
      <c r="G37" s="771"/>
      <c r="H37" s="771"/>
      <c r="I37" s="771"/>
      <c r="J37" s="771"/>
      <c r="K37" s="771"/>
      <c r="L37" s="771"/>
      <c r="M37" s="771"/>
      <c r="N37" s="771"/>
      <c r="O37" s="771"/>
      <c r="P37" s="771"/>
      <c r="Q37" s="771"/>
      <c r="R37" s="771"/>
      <c r="S37" s="771"/>
      <c r="T37" s="771"/>
      <c r="U37" s="771"/>
      <c r="V37" s="771"/>
      <c r="W37" s="771"/>
      <c r="X37" s="771"/>
      <c r="Y37" s="771"/>
      <c r="Z37" s="771"/>
      <c r="AA37" s="772"/>
      <c r="AB37" s="773"/>
      <c r="AC37" s="774"/>
      <c r="AD37" s="775"/>
      <c r="AE37" s="775"/>
      <c r="AF37" s="775"/>
      <c r="AG37" s="776"/>
      <c r="AH37" s="760" t="str">
        <f t="shared" si="2"/>
        <v/>
      </c>
      <c r="AI37" s="760"/>
      <c r="AJ37" s="760"/>
      <c r="AK37" s="761"/>
      <c r="AL37" s="760" t="str">
        <f t="shared" si="1"/>
        <v/>
      </c>
      <c r="AM37" s="760"/>
      <c r="AN37" s="760"/>
      <c r="AO37" s="777"/>
    </row>
    <row r="38" spans="2:41" ht="16.05" customHeight="1">
      <c r="B38" s="768"/>
      <c r="C38" s="769"/>
      <c r="D38" s="770"/>
      <c r="E38" s="771"/>
      <c r="F38" s="771"/>
      <c r="G38" s="771"/>
      <c r="H38" s="771"/>
      <c r="I38" s="771"/>
      <c r="J38" s="771"/>
      <c r="K38" s="771"/>
      <c r="L38" s="771"/>
      <c r="M38" s="771"/>
      <c r="N38" s="771"/>
      <c r="O38" s="771"/>
      <c r="P38" s="771"/>
      <c r="Q38" s="771"/>
      <c r="R38" s="771"/>
      <c r="S38" s="771"/>
      <c r="T38" s="771"/>
      <c r="U38" s="771"/>
      <c r="V38" s="771"/>
      <c r="W38" s="771"/>
      <c r="X38" s="771"/>
      <c r="Y38" s="771"/>
      <c r="Z38" s="771"/>
      <c r="AA38" s="772"/>
      <c r="AB38" s="773"/>
      <c r="AC38" s="774"/>
      <c r="AD38" s="775"/>
      <c r="AE38" s="775"/>
      <c r="AF38" s="775"/>
      <c r="AG38" s="776"/>
      <c r="AH38" s="760" t="str">
        <f t="shared" si="2"/>
        <v/>
      </c>
      <c r="AI38" s="760"/>
      <c r="AJ38" s="760"/>
      <c r="AK38" s="761"/>
      <c r="AL38" s="760" t="str">
        <f t="shared" si="1"/>
        <v/>
      </c>
      <c r="AM38" s="760"/>
      <c r="AN38" s="760"/>
      <c r="AO38" s="777"/>
    </row>
    <row r="39" spans="2:41" ht="16.05" customHeight="1" thickBot="1">
      <c r="B39" s="783"/>
      <c r="C39" s="784"/>
      <c r="D39" s="956"/>
      <c r="E39" s="957"/>
      <c r="F39" s="957"/>
      <c r="G39" s="957"/>
      <c r="H39" s="957"/>
      <c r="I39" s="957"/>
      <c r="J39" s="957"/>
      <c r="K39" s="957"/>
      <c r="L39" s="957"/>
      <c r="M39" s="957"/>
      <c r="N39" s="957"/>
      <c r="O39" s="957"/>
      <c r="P39" s="957"/>
      <c r="Q39" s="957"/>
      <c r="R39" s="957"/>
      <c r="S39" s="957"/>
      <c r="T39" s="957"/>
      <c r="U39" s="957"/>
      <c r="V39" s="957"/>
      <c r="W39" s="957"/>
      <c r="X39" s="957"/>
      <c r="Y39" s="957"/>
      <c r="Z39" s="957"/>
      <c r="AA39" s="958"/>
      <c r="AB39" s="959"/>
      <c r="AC39" s="960"/>
      <c r="AD39" s="961"/>
      <c r="AE39" s="961"/>
      <c r="AF39" s="961"/>
      <c r="AG39" s="962"/>
      <c r="AH39" s="760" t="str">
        <f t="shared" si="2"/>
        <v/>
      </c>
      <c r="AI39" s="760"/>
      <c r="AJ39" s="760"/>
      <c r="AK39" s="761"/>
      <c r="AL39" s="963" t="str">
        <f t="shared" si="1"/>
        <v/>
      </c>
      <c r="AM39" s="963"/>
      <c r="AN39" s="963"/>
      <c r="AO39" s="965"/>
    </row>
    <row r="40" spans="2:41" ht="16.05" customHeight="1" thickTop="1" thickBot="1">
      <c r="B40" s="966" t="s">
        <v>480</v>
      </c>
      <c r="C40" s="967"/>
      <c r="D40" s="967"/>
      <c r="E40" s="967"/>
      <c r="F40" s="967"/>
      <c r="G40" s="967"/>
      <c r="H40" s="967"/>
      <c r="I40" s="967"/>
      <c r="J40" s="967"/>
      <c r="K40" s="967"/>
      <c r="L40" s="967"/>
      <c r="M40" s="967"/>
      <c r="N40" s="967"/>
      <c r="O40" s="967"/>
      <c r="P40" s="967"/>
      <c r="Q40" s="967"/>
      <c r="R40" s="967"/>
      <c r="S40" s="967"/>
      <c r="T40" s="967"/>
      <c r="U40" s="967"/>
      <c r="V40" s="967"/>
      <c r="W40" s="967"/>
      <c r="X40" s="967"/>
      <c r="Y40" s="967"/>
      <c r="Z40" s="967"/>
      <c r="AA40" s="967"/>
      <c r="AB40" s="967"/>
      <c r="AC40" s="968"/>
      <c r="AD40" s="969">
        <f>SUM(AD35:AG39)</f>
        <v>0</v>
      </c>
      <c r="AE40" s="969"/>
      <c r="AF40" s="969"/>
      <c r="AG40" s="970"/>
      <c r="AH40" s="971">
        <f>SUM(AH35:AK39)</f>
        <v>0</v>
      </c>
      <c r="AI40" s="971"/>
      <c r="AJ40" s="971"/>
      <c r="AK40" s="972"/>
      <c r="AL40" s="973">
        <f>SUM(AL35:AO39)</f>
        <v>0</v>
      </c>
      <c r="AM40" s="973"/>
      <c r="AN40" s="973"/>
      <c r="AO40" s="974"/>
    </row>
    <row r="41" spans="2:41" ht="3.6" customHeight="1" thickBot="1">
      <c r="B41" s="762"/>
      <c r="C41" s="762"/>
      <c r="D41" s="762"/>
      <c r="E41" s="762"/>
      <c r="F41" s="762"/>
      <c r="G41" s="762"/>
      <c r="H41" s="762"/>
      <c r="I41" s="762"/>
      <c r="J41" s="762"/>
      <c r="K41" s="762"/>
      <c r="L41" s="762"/>
      <c r="M41" s="762"/>
      <c r="N41" s="762"/>
      <c r="O41" s="762"/>
      <c r="P41" s="762"/>
      <c r="Q41" s="762"/>
      <c r="R41" s="762"/>
      <c r="S41" s="762"/>
      <c r="T41" s="762"/>
      <c r="U41" s="762"/>
      <c r="V41" s="762"/>
      <c r="W41" s="762"/>
      <c r="X41" s="762"/>
      <c r="Y41" s="762"/>
      <c r="Z41" s="762"/>
      <c r="AA41" s="762"/>
      <c r="AB41" s="762"/>
      <c r="AC41" s="762"/>
      <c r="AD41" s="762"/>
      <c r="AE41" s="762"/>
      <c r="AF41" s="762"/>
      <c r="AG41" s="762"/>
      <c r="AH41" s="762"/>
      <c r="AI41" s="762"/>
      <c r="AJ41" s="762"/>
      <c r="AK41" s="762"/>
      <c r="AL41" s="762"/>
      <c r="AM41" s="762"/>
      <c r="AN41" s="762"/>
      <c r="AO41" s="762"/>
    </row>
    <row r="42" spans="2:41" ht="21.6" customHeight="1" thickBot="1">
      <c r="B42" s="644" t="s">
        <v>546</v>
      </c>
      <c r="C42" s="645"/>
      <c r="D42" s="645"/>
      <c r="E42" s="645"/>
      <c r="F42" s="645"/>
      <c r="G42" s="645"/>
      <c r="H42" s="645"/>
      <c r="I42" s="645"/>
      <c r="J42" s="645"/>
      <c r="K42" s="645"/>
      <c r="L42" s="645"/>
      <c r="M42" s="645"/>
      <c r="N42" s="645"/>
      <c r="O42" s="645"/>
      <c r="P42" s="645"/>
      <c r="Q42" s="645"/>
      <c r="R42" s="645"/>
      <c r="S42" s="645"/>
      <c r="T42" s="645"/>
      <c r="U42" s="645"/>
      <c r="V42" s="645"/>
      <c r="W42" s="645"/>
      <c r="X42" s="645"/>
      <c r="Y42" s="645"/>
      <c r="Z42" s="645"/>
      <c r="AA42" s="645"/>
      <c r="AB42" s="645"/>
      <c r="AC42" s="645"/>
      <c r="AD42" s="645"/>
      <c r="AE42" s="645"/>
      <c r="AF42" s="645"/>
      <c r="AG42" s="645"/>
      <c r="AH42" s="645"/>
      <c r="AI42" s="645"/>
      <c r="AJ42" s="645"/>
      <c r="AK42" s="645"/>
      <c r="AL42" s="645"/>
      <c r="AM42" s="645"/>
      <c r="AN42" s="645"/>
      <c r="AO42" s="646"/>
    </row>
    <row r="43" spans="2:41" s="2" customFormat="1" ht="21.6" customHeight="1">
      <c r="B43" s="1118" t="s">
        <v>175</v>
      </c>
      <c r="C43" s="1119"/>
      <c r="D43" s="1119"/>
      <c r="E43" s="1119"/>
      <c r="F43" s="1119"/>
      <c r="G43" s="1119"/>
      <c r="H43" s="1119"/>
      <c r="I43" s="1120"/>
      <c r="J43" s="1115">
        <f>SUMIF(B:C,"A",X:AC)+SUMIF(B26:C30,"A",AD26:AG30)+SUMIF(B35:C39,"A",AD35:AG39)</f>
        <v>0</v>
      </c>
      <c r="K43" s="1116"/>
      <c r="L43" s="1116"/>
      <c r="M43" s="1116"/>
      <c r="N43" s="1117"/>
      <c r="O43" s="1128" t="s">
        <v>176</v>
      </c>
      <c r="P43" s="1119"/>
      <c r="Q43" s="1119"/>
      <c r="R43" s="1119"/>
      <c r="S43" s="1119"/>
      <c r="T43" s="1119"/>
      <c r="U43" s="1119"/>
      <c r="V43" s="1119"/>
      <c r="W43" s="1120"/>
      <c r="X43" s="1115">
        <f>IF(AND(B13="A",NOT(ISBLANK(X13))),AD13,0)+IF(AND(B15="A",NOT(ISBLANK(X15))),AD15,0)+IF(AND(B17="A",NOT(ISBLANK(X17))),AD17,0)+IF(AND(B19="A",NOT(ISBLANK(X19))),AD19,0)+SUMIF(B35:C39,"A",AH35:AK39)+SUMIF(B26:C30,"A",AH26:AK30)</f>
        <v>0</v>
      </c>
      <c r="Y43" s="1116"/>
      <c r="Z43" s="1116"/>
      <c r="AA43" s="1116"/>
      <c r="AB43" s="1117"/>
      <c r="AC43" s="1128" t="s">
        <v>178</v>
      </c>
      <c r="AD43" s="1119"/>
      <c r="AE43" s="1119"/>
      <c r="AF43" s="1119"/>
      <c r="AG43" s="1119"/>
      <c r="AH43" s="1119"/>
      <c r="AI43" s="1119"/>
      <c r="AJ43" s="1120"/>
      <c r="AK43" s="786">
        <f>H43-S43-AB43</f>
        <v>0</v>
      </c>
      <c r="AL43" s="786"/>
      <c r="AM43" s="786"/>
      <c r="AN43" s="786"/>
      <c r="AO43" s="890"/>
    </row>
    <row r="44" spans="2:41" s="2" customFormat="1" ht="21.6" customHeight="1">
      <c r="B44" s="1121" t="s">
        <v>179</v>
      </c>
      <c r="C44" s="1122"/>
      <c r="D44" s="1122"/>
      <c r="E44" s="1122"/>
      <c r="F44" s="1122"/>
      <c r="G44" s="1122"/>
      <c r="H44" s="1122"/>
      <c r="I44" s="1123"/>
      <c r="J44" s="1112">
        <f>SUMIF(B:C,"B",X:AC)+SUMIF(B26:C30,"B",AD26:AG30)+SUMIF(B35:C39,"B",AD35:AG39)</f>
        <v>0</v>
      </c>
      <c r="K44" s="1113"/>
      <c r="L44" s="1113"/>
      <c r="M44" s="1113"/>
      <c r="N44" s="1114"/>
      <c r="O44" s="1129" t="s">
        <v>180</v>
      </c>
      <c r="P44" s="1122"/>
      <c r="Q44" s="1122"/>
      <c r="R44" s="1122"/>
      <c r="S44" s="1122"/>
      <c r="T44" s="1122"/>
      <c r="U44" s="1122"/>
      <c r="V44" s="1122"/>
      <c r="W44" s="1123"/>
      <c r="X44" s="1112">
        <f>IF(AND(B13="B",NOT(ISBLANK(X13))),AD13,0)+IF(AND(B15="B",NOT(ISBLANK(X15))),AD15,0)+IF(AND(B17="B",NOT(ISBLANK(X17))),AD17,0)+IF(AND(B19="B",NOT(ISBLANK(X19))),AD19,0)+SUMIF(B35:C39,"B",AH35:AK39)+SUMIF(B26:C30,"B",AH26:AK30)</f>
        <v>0</v>
      </c>
      <c r="Y44" s="1113"/>
      <c r="Z44" s="1113"/>
      <c r="AA44" s="1113"/>
      <c r="AB44" s="1114"/>
      <c r="AC44" s="1129" t="s">
        <v>178</v>
      </c>
      <c r="AD44" s="1122"/>
      <c r="AE44" s="1122"/>
      <c r="AF44" s="1122"/>
      <c r="AG44" s="1122"/>
      <c r="AH44" s="1122"/>
      <c r="AI44" s="1122"/>
      <c r="AJ44" s="1123"/>
      <c r="AK44" s="901">
        <f>H44-S44-AB44</f>
        <v>0</v>
      </c>
      <c r="AL44" s="901"/>
      <c r="AM44" s="901"/>
      <c r="AN44" s="901"/>
      <c r="AO44" s="902"/>
    </row>
    <row r="45" spans="2:41" s="2" customFormat="1" ht="21.6" customHeight="1">
      <c r="B45" s="891" t="s">
        <v>418</v>
      </c>
      <c r="C45" s="892"/>
      <c r="D45" s="892"/>
      <c r="E45" s="892"/>
      <c r="F45" s="892"/>
      <c r="G45" s="892"/>
      <c r="H45" s="892"/>
      <c r="I45" s="892"/>
      <c r="J45" s="892"/>
      <c r="K45" s="892"/>
      <c r="L45" s="892"/>
      <c r="M45" s="892"/>
      <c r="N45" s="892"/>
      <c r="O45" s="892"/>
      <c r="P45" s="892"/>
      <c r="Q45" s="892"/>
      <c r="R45" s="892"/>
      <c r="S45" s="892"/>
      <c r="T45" s="892"/>
      <c r="U45" s="892"/>
      <c r="V45" s="892"/>
      <c r="W45" s="892"/>
      <c r="X45" s="892"/>
      <c r="Y45" s="892"/>
      <c r="Z45" s="892"/>
      <c r="AA45" s="892"/>
      <c r="AB45" s="892"/>
      <c r="AC45" s="892"/>
      <c r="AD45" s="892"/>
      <c r="AE45" s="892"/>
      <c r="AF45" s="892"/>
      <c r="AG45" s="892"/>
      <c r="AH45" s="892"/>
      <c r="AI45" s="892"/>
      <c r="AJ45" s="892"/>
      <c r="AK45" s="903">
        <f>J43+J44</f>
        <v>0</v>
      </c>
      <c r="AL45" s="904"/>
      <c r="AM45" s="904"/>
      <c r="AN45" s="904"/>
      <c r="AO45" s="905"/>
    </row>
    <row r="46" spans="2:41" s="2" customFormat="1" ht="21.6" customHeight="1">
      <c r="B46" s="891" t="s">
        <v>51</v>
      </c>
      <c r="C46" s="892"/>
      <c r="D46" s="892"/>
      <c r="E46" s="892"/>
      <c r="F46" s="892"/>
      <c r="G46" s="892"/>
      <c r="H46" s="892"/>
      <c r="I46" s="892"/>
      <c r="J46" s="892"/>
      <c r="K46" s="892"/>
      <c r="L46" s="892"/>
      <c r="M46" s="892"/>
      <c r="N46" s="892"/>
      <c r="O46" s="892"/>
      <c r="P46" s="892"/>
      <c r="Q46" s="892"/>
      <c r="R46" s="892"/>
      <c r="S46" s="892"/>
      <c r="T46" s="892"/>
      <c r="U46" s="892"/>
      <c r="V46" s="892"/>
      <c r="W46" s="892"/>
      <c r="X46" s="892"/>
      <c r="Y46" s="892"/>
      <c r="Z46" s="892"/>
      <c r="AA46" s="892"/>
      <c r="AB46" s="892"/>
      <c r="AC46" s="892"/>
      <c r="AD46" s="892"/>
      <c r="AE46" s="892"/>
      <c r="AF46" s="892"/>
      <c r="AG46" s="892"/>
      <c r="AH46" s="892"/>
      <c r="AI46" s="892"/>
      <c r="AJ46" s="892"/>
      <c r="AK46" s="903">
        <f>X43+X44</f>
        <v>0</v>
      </c>
      <c r="AL46" s="904"/>
      <c r="AM46" s="904"/>
      <c r="AN46" s="904"/>
      <c r="AO46" s="905"/>
    </row>
    <row r="47" spans="2:41" s="2" customFormat="1" ht="21.6" customHeight="1" thickBot="1">
      <c r="B47" s="895" t="s">
        <v>544</v>
      </c>
      <c r="C47" s="896"/>
      <c r="D47" s="896"/>
      <c r="E47" s="896"/>
      <c r="F47" s="896"/>
      <c r="G47" s="896"/>
      <c r="H47" s="896"/>
      <c r="I47" s="896"/>
      <c r="J47" s="896"/>
      <c r="K47" s="896"/>
      <c r="L47" s="896"/>
      <c r="M47" s="896"/>
      <c r="N47" s="896"/>
      <c r="O47" s="896"/>
      <c r="P47" s="896"/>
      <c r="Q47" s="896"/>
      <c r="R47" s="896"/>
      <c r="S47" s="896"/>
      <c r="T47" s="896"/>
      <c r="U47" s="896"/>
      <c r="V47" s="896"/>
      <c r="W47" s="896"/>
      <c r="X47" s="896"/>
      <c r="Y47" s="896"/>
      <c r="Z47" s="896"/>
      <c r="AA47" s="896"/>
      <c r="AB47" s="896"/>
      <c r="AC47" s="896"/>
      <c r="AD47" s="896"/>
      <c r="AE47" s="896"/>
      <c r="AF47" s="896"/>
      <c r="AG47" s="896"/>
      <c r="AH47" s="896"/>
      <c r="AI47" s="896"/>
      <c r="AJ47" s="896"/>
      <c r="AK47" s="897">
        <f>AK45-AK46</f>
        <v>0</v>
      </c>
      <c r="AL47" s="898"/>
      <c r="AM47" s="898"/>
      <c r="AN47" s="898"/>
      <c r="AO47" s="899"/>
    </row>
    <row r="48" spans="2:41" s="2" customFormat="1" ht="21.6" hidden="1" customHeight="1" thickBot="1">
      <c r="B48" s="1132" t="s">
        <v>486</v>
      </c>
      <c r="C48" s="1133"/>
      <c r="D48" s="1133"/>
      <c r="E48" s="1133"/>
      <c r="F48" s="1133"/>
      <c r="G48" s="1133"/>
      <c r="H48" s="1133"/>
      <c r="I48" s="1133"/>
      <c r="J48" s="1133"/>
      <c r="K48" s="1133"/>
      <c r="L48" s="1133"/>
      <c r="M48" s="1133"/>
      <c r="N48" s="1133"/>
      <c r="O48" s="1133"/>
      <c r="P48" s="1133"/>
      <c r="Q48" s="1133"/>
      <c r="R48" s="1133"/>
      <c r="S48" s="1133"/>
      <c r="T48" s="1133"/>
      <c r="U48" s="1133"/>
      <c r="V48" s="1133"/>
      <c r="W48" s="1133"/>
      <c r="X48" s="1133"/>
      <c r="Y48" s="1133"/>
      <c r="Z48" s="1133"/>
      <c r="AA48" s="1133"/>
      <c r="AB48" s="1133"/>
      <c r="AC48" s="1133"/>
      <c r="AD48" s="1133"/>
      <c r="AE48" s="1133"/>
      <c r="AF48" s="1133"/>
      <c r="AG48" s="1133"/>
      <c r="AH48" s="1133"/>
      <c r="AI48" s="1133"/>
      <c r="AJ48" s="1133"/>
      <c r="AK48" s="1134" t="str">
        <f>IF('Project Score'!G30=0,"0",'Project Score'!C34)</f>
        <v>0</v>
      </c>
      <c r="AL48" s="1134"/>
      <c r="AM48" s="1134"/>
      <c r="AN48" s="1134"/>
      <c r="AO48" s="1135"/>
    </row>
    <row r="49" spans="2:41" ht="3.6" customHeight="1" thickBot="1">
      <c r="B49" s="909"/>
      <c r="C49" s="909"/>
      <c r="D49" s="909"/>
      <c r="E49" s="909"/>
      <c r="F49" s="909"/>
      <c r="G49" s="909"/>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row>
    <row r="50" spans="2:41" s="2" customFormat="1" ht="21.6" customHeight="1" thickBot="1">
      <c r="B50" s="910"/>
      <c r="C50" s="911"/>
      <c r="D50" s="912" t="s">
        <v>191</v>
      </c>
      <c r="E50" s="912"/>
      <c r="F50" s="912"/>
      <c r="G50" s="912"/>
      <c r="H50" s="912"/>
      <c r="I50" s="912"/>
      <c r="J50" s="912"/>
      <c r="K50" s="912"/>
      <c r="L50" s="912"/>
      <c r="M50" s="912"/>
      <c r="N50" s="912"/>
      <c r="O50" s="912"/>
      <c r="P50" s="913"/>
      <c r="Q50" s="914"/>
      <c r="R50" s="914"/>
      <c r="S50" s="915" t="s">
        <v>192</v>
      </c>
      <c r="T50" s="915"/>
      <c r="U50" s="915"/>
      <c r="V50" s="915"/>
      <c r="W50" s="915"/>
      <c r="X50" s="915"/>
      <c r="Y50" s="915"/>
      <c r="Z50" s="915"/>
      <c r="AA50" s="915"/>
      <c r="AB50" s="916"/>
      <c r="AC50" s="917"/>
      <c r="AD50" s="917"/>
      <c r="AE50" s="915" t="s">
        <v>193</v>
      </c>
      <c r="AF50" s="915"/>
      <c r="AG50" s="915"/>
      <c r="AH50" s="915"/>
      <c r="AI50" s="915"/>
      <c r="AJ50" s="915"/>
      <c r="AK50" s="915"/>
      <c r="AL50" s="915"/>
      <c r="AM50" s="915"/>
      <c r="AN50" s="915"/>
      <c r="AO50" s="918"/>
    </row>
    <row r="51" spans="2:41" ht="3.6" customHeight="1" thickBot="1">
      <c r="B51" s="930"/>
      <c r="C51" s="930"/>
      <c r="D51" s="930"/>
      <c r="E51" s="930"/>
      <c r="F51" s="930"/>
      <c r="G51" s="930"/>
      <c r="H51" s="930"/>
      <c r="I51" s="930"/>
      <c r="J51" s="930"/>
      <c r="K51" s="930"/>
      <c r="L51" s="930"/>
      <c r="M51" s="930"/>
      <c r="N51" s="930"/>
      <c r="O51" s="930"/>
      <c r="P51" s="930"/>
      <c r="Q51" s="930"/>
      <c r="R51" s="930"/>
      <c r="S51" s="930"/>
      <c r="T51" s="930"/>
      <c r="U51" s="930"/>
      <c r="V51" s="930"/>
      <c r="W51" s="930"/>
      <c r="X51" s="930"/>
      <c r="Y51" s="930"/>
      <c r="Z51" s="930"/>
      <c r="AA51" s="930"/>
      <c r="AB51" s="930"/>
      <c r="AC51" s="930"/>
      <c r="AD51" s="930"/>
      <c r="AE51" s="930"/>
      <c r="AF51" s="930"/>
      <c r="AG51" s="930"/>
      <c r="AH51" s="930"/>
      <c r="AI51" s="930"/>
      <c r="AJ51" s="930"/>
      <c r="AK51" s="930"/>
      <c r="AL51" s="930"/>
      <c r="AM51" s="930"/>
      <c r="AN51" s="930"/>
      <c r="AO51" s="930"/>
    </row>
    <row r="52" spans="2:41" ht="21.6" customHeight="1">
      <c r="B52" s="931" t="s">
        <v>547</v>
      </c>
      <c r="C52" s="932"/>
      <c r="D52" s="932"/>
      <c r="E52" s="932"/>
      <c r="F52" s="932"/>
      <c r="G52" s="932"/>
      <c r="H52" s="932"/>
      <c r="I52" s="932"/>
      <c r="J52" s="932"/>
      <c r="K52" s="932"/>
      <c r="L52" s="932"/>
      <c r="M52" s="932"/>
      <c r="N52" s="932"/>
      <c r="O52" s="932"/>
      <c r="P52" s="932"/>
      <c r="Q52" s="932"/>
      <c r="R52" s="932"/>
      <c r="S52" s="932"/>
      <c r="T52" s="932"/>
      <c r="U52" s="932"/>
      <c r="V52" s="932"/>
      <c r="W52" s="932"/>
      <c r="X52" s="932"/>
      <c r="Y52" s="932"/>
      <c r="Z52" s="932"/>
      <c r="AA52" s="932"/>
      <c r="AB52" s="932"/>
      <c r="AC52" s="932"/>
      <c r="AD52" s="932"/>
      <c r="AE52" s="932"/>
      <c r="AF52" s="932"/>
      <c r="AG52" s="932"/>
      <c r="AH52" s="932"/>
      <c r="AI52" s="932"/>
      <c r="AJ52" s="932"/>
      <c r="AK52" s="932"/>
      <c r="AL52" s="932"/>
      <c r="AM52" s="932"/>
      <c r="AN52" s="932"/>
      <c r="AO52" s="933"/>
    </row>
    <row r="53" spans="2:41" s="21" customFormat="1" ht="100.8" customHeight="1">
      <c r="B53" s="934" t="s">
        <v>194</v>
      </c>
      <c r="C53" s="935"/>
      <c r="D53" s="935"/>
      <c r="E53" s="935"/>
      <c r="F53" s="935"/>
      <c r="G53" s="935"/>
      <c r="H53" s="935"/>
      <c r="I53" s="935"/>
      <c r="J53" s="935"/>
      <c r="K53" s="935"/>
      <c r="L53" s="935"/>
      <c r="M53" s="935"/>
      <c r="N53" s="935"/>
      <c r="O53" s="935"/>
      <c r="P53" s="935"/>
      <c r="Q53" s="935"/>
      <c r="R53" s="935"/>
      <c r="S53" s="935"/>
      <c r="T53" s="935"/>
      <c r="U53" s="935"/>
      <c r="V53" s="935"/>
      <c r="W53" s="935"/>
      <c r="X53" s="935"/>
      <c r="Y53" s="935"/>
      <c r="Z53" s="935"/>
      <c r="AA53" s="935"/>
      <c r="AB53" s="935"/>
      <c r="AC53" s="935"/>
      <c r="AD53" s="935"/>
      <c r="AE53" s="935"/>
      <c r="AF53" s="935"/>
      <c r="AG53" s="935"/>
      <c r="AH53" s="935"/>
      <c r="AI53" s="935"/>
      <c r="AJ53" s="935"/>
      <c r="AK53" s="935"/>
      <c r="AL53" s="935"/>
      <c r="AM53" s="935"/>
      <c r="AN53" s="935"/>
      <c r="AO53" s="936"/>
    </row>
    <row r="54" spans="2:41" s="21" customFormat="1" ht="29.4" customHeight="1">
      <c r="B54" s="934" t="s">
        <v>186</v>
      </c>
      <c r="C54" s="935"/>
      <c r="D54" s="935"/>
      <c r="E54" s="935"/>
      <c r="F54" s="935"/>
      <c r="G54" s="935"/>
      <c r="H54" s="935"/>
      <c r="I54" s="935"/>
      <c r="J54" s="935"/>
      <c r="K54" s="935"/>
      <c r="L54" s="935"/>
      <c r="M54" s="935"/>
      <c r="N54" s="935"/>
      <c r="O54" s="935"/>
      <c r="P54" s="935"/>
      <c r="Q54" s="935"/>
      <c r="R54" s="935"/>
      <c r="S54" s="935"/>
      <c r="T54" s="935"/>
      <c r="U54" s="935"/>
      <c r="V54" s="935"/>
      <c r="W54" s="935"/>
      <c r="X54" s="935"/>
      <c r="Y54" s="935"/>
      <c r="Z54" s="935"/>
      <c r="AA54" s="935"/>
      <c r="AB54" s="935"/>
      <c r="AC54" s="935"/>
      <c r="AD54" s="935"/>
      <c r="AE54" s="935"/>
      <c r="AF54" s="935"/>
      <c r="AG54" s="935"/>
      <c r="AH54" s="935"/>
      <c r="AI54" s="935"/>
      <c r="AJ54" s="935"/>
      <c r="AK54" s="935"/>
      <c r="AL54" s="935"/>
      <c r="AM54" s="935"/>
      <c r="AN54" s="935"/>
      <c r="AO54" s="936"/>
    </row>
    <row r="55" spans="2:41" ht="34.950000000000003" customHeight="1">
      <c r="B55" s="766" t="s">
        <v>423</v>
      </c>
      <c r="C55" s="767"/>
      <c r="D55" s="767"/>
      <c r="E55" s="767"/>
      <c r="F55" s="767"/>
      <c r="G55" s="778"/>
      <c r="H55" s="778"/>
      <c r="I55" s="778"/>
      <c r="J55" s="778"/>
      <c r="K55" s="778"/>
      <c r="L55" s="778"/>
      <c r="M55" s="778"/>
      <c r="N55" s="778"/>
      <c r="O55" s="778"/>
      <c r="P55" s="778"/>
      <c r="Q55" s="778"/>
      <c r="R55" s="779"/>
      <c r="S55" s="780" t="s">
        <v>187</v>
      </c>
      <c r="T55" s="780"/>
      <c r="U55" s="780"/>
      <c r="V55" s="780"/>
      <c r="W55" s="781"/>
      <c r="X55" s="781"/>
      <c r="Y55" s="781"/>
      <c r="Z55" s="781"/>
      <c r="AA55" s="781"/>
      <c r="AB55" s="781"/>
      <c r="AC55" s="781"/>
      <c r="AD55" s="781"/>
      <c r="AE55" s="781"/>
      <c r="AF55" s="781"/>
      <c r="AG55" s="781"/>
      <c r="AH55" s="781"/>
      <c r="AI55" s="782"/>
      <c r="AJ55" s="765" t="s">
        <v>188</v>
      </c>
      <c r="AK55" s="765"/>
      <c r="AL55" s="763"/>
      <c r="AM55" s="763"/>
      <c r="AN55" s="763"/>
      <c r="AO55" s="764"/>
    </row>
    <row r="56" spans="2:41" ht="34.950000000000003" customHeight="1" thickBot="1">
      <c r="B56" s="922" t="s">
        <v>189</v>
      </c>
      <c r="C56" s="923"/>
      <c r="D56" s="923"/>
      <c r="E56" s="923"/>
      <c r="F56" s="923"/>
      <c r="G56" s="923"/>
      <c r="H56" s="923"/>
      <c r="I56" s="923"/>
      <c r="J56" s="1130"/>
      <c r="K56" s="1130"/>
      <c r="L56" s="1130"/>
      <c r="M56" s="1130"/>
      <c r="N56" s="1130"/>
      <c r="O56" s="1130"/>
      <c r="P56" s="1130"/>
      <c r="Q56" s="1130"/>
      <c r="R56" s="1130"/>
      <c r="S56" s="1130"/>
      <c r="T56" s="1130"/>
      <c r="U56" s="1130"/>
      <c r="V56" s="1130"/>
      <c r="W56" s="1130"/>
      <c r="X56" s="1130"/>
      <c r="Y56" s="1130"/>
      <c r="Z56" s="1130"/>
      <c r="AA56" s="1130"/>
      <c r="AB56" s="1130"/>
      <c r="AC56" s="1130"/>
      <c r="AD56" s="1130"/>
      <c r="AE56" s="1130"/>
      <c r="AF56" s="1130"/>
      <c r="AG56" s="1130"/>
      <c r="AH56" s="1130"/>
      <c r="AI56" s="1131"/>
      <c r="AJ56" s="765" t="s">
        <v>188</v>
      </c>
      <c r="AK56" s="765"/>
      <c r="AL56" s="763"/>
      <c r="AM56" s="763"/>
      <c r="AN56" s="763"/>
      <c r="AO56" s="764"/>
    </row>
    <row r="57" spans="2:41" ht="3.6" customHeight="1" thickBot="1">
      <c r="B57" s="939"/>
      <c r="C57" s="939"/>
      <c r="D57" s="939"/>
      <c r="E57" s="939"/>
      <c r="F57" s="939"/>
      <c r="G57" s="939"/>
      <c r="H57" s="939"/>
      <c r="I57" s="939"/>
      <c r="J57" s="939"/>
      <c r="K57" s="939"/>
      <c r="L57" s="939"/>
      <c r="M57" s="939"/>
      <c r="N57" s="939"/>
      <c r="O57" s="939"/>
      <c r="P57" s="939"/>
      <c r="Q57" s="939"/>
      <c r="R57" s="939"/>
      <c r="S57" s="939"/>
      <c r="T57" s="939"/>
      <c r="U57" s="939"/>
      <c r="V57" s="939"/>
      <c r="W57" s="939"/>
      <c r="X57" s="939"/>
      <c r="Y57" s="939"/>
      <c r="Z57" s="939"/>
      <c r="AA57" s="939"/>
      <c r="AB57" s="939"/>
      <c r="AC57" s="939"/>
      <c r="AD57" s="939"/>
      <c r="AE57" s="939"/>
      <c r="AF57" s="939"/>
      <c r="AG57" s="939"/>
      <c r="AH57" s="939"/>
      <c r="AI57" s="939"/>
      <c r="AJ57" s="939"/>
      <c r="AK57" s="939"/>
      <c r="AL57" s="939"/>
      <c r="AM57" s="939"/>
      <c r="AN57" s="939"/>
      <c r="AO57" s="939"/>
    </row>
    <row r="58" spans="2:41" ht="21.6" customHeight="1">
      <c r="B58" s="924" t="s">
        <v>548</v>
      </c>
      <c r="C58" s="925"/>
      <c r="D58" s="925"/>
      <c r="E58" s="925"/>
      <c r="F58" s="925"/>
      <c r="G58" s="925"/>
      <c r="H58" s="925"/>
      <c r="I58" s="925"/>
      <c r="J58" s="925"/>
      <c r="K58" s="925"/>
      <c r="L58" s="925"/>
      <c r="M58" s="925"/>
      <c r="N58" s="925"/>
      <c r="O58" s="925"/>
      <c r="P58" s="925"/>
      <c r="Q58" s="925"/>
      <c r="R58" s="925"/>
      <c r="S58" s="925"/>
      <c r="T58" s="925"/>
      <c r="U58" s="925"/>
      <c r="V58" s="925"/>
      <c r="W58" s="925"/>
      <c r="X58" s="925"/>
      <c r="Y58" s="925"/>
      <c r="Z58" s="925"/>
      <c r="AA58" s="925"/>
      <c r="AB58" s="925"/>
      <c r="AC58" s="925"/>
      <c r="AD58" s="925"/>
      <c r="AE58" s="925"/>
      <c r="AF58" s="925"/>
      <c r="AG58" s="925"/>
      <c r="AH58" s="925"/>
      <c r="AI58" s="925"/>
      <c r="AJ58" s="925"/>
      <c r="AK58" s="925"/>
      <c r="AL58" s="925"/>
      <c r="AM58" s="925"/>
      <c r="AN58" s="925"/>
      <c r="AO58" s="926"/>
    </row>
    <row r="59" spans="2:41" ht="47.4" customHeight="1">
      <c r="B59" s="927" t="s">
        <v>190</v>
      </c>
      <c r="C59" s="928"/>
      <c r="D59" s="928"/>
      <c r="E59" s="928"/>
      <c r="F59" s="928"/>
      <c r="G59" s="928"/>
      <c r="H59" s="928"/>
      <c r="I59" s="928"/>
      <c r="J59" s="928"/>
      <c r="K59" s="928"/>
      <c r="L59" s="928"/>
      <c r="M59" s="928"/>
      <c r="N59" s="928"/>
      <c r="O59" s="928"/>
      <c r="P59" s="928"/>
      <c r="Q59" s="928"/>
      <c r="R59" s="928"/>
      <c r="S59" s="928"/>
      <c r="T59" s="928"/>
      <c r="U59" s="928"/>
      <c r="V59" s="928"/>
      <c r="W59" s="928"/>
      <c r="X59" s="928"/>
      <c r="Y59" s="928"/>
      <c r="Z59" s="928"/>
      <c r="AA59" s="928"/>
      <c r="AB59" s="928"/>
      <c r="AC59" s="928"/>
      <c r="AD59" s="928"/>
      <c r="AE59" s="928"/>
      <c r="AF59" s="928"/>
      <c r="AG59" s="928"/>
      <c r="AH59" s="928"/>
      <c r="AI59" s="928"/>
      <c r="AJ59" s="928"/>
      <c r="AK59" s="928"/>
      <c r="AL59" s="928"/>
      <c r="AM59" s="928"/>
      <c r="AN59" s="928"/>
      <c r="AO59" s="929"/>
    </row>
    <row r="60" spans="2:41" ht="34.950000000000003" customHeight="1">
      <c r="B60" s="766" t="s">
        <v>423</v>
      </c>
      <c r="C60" s="767"/>
      <c r="D60" s="767"/>
      <c r="E60" s="767"/>
      <c r="F60" s="767"/>
      <c r="G60" s="778"/>
      <c r="H60" s="778"/>
      <c r="I60" s="778"/>
      <c r="J60" s="778"/>
      <c r="K60" s="778"/>
      <c r="L60" s="778"/>
      <c r="M60" s="778"/>
      <c r="N60" s="778"/>
      <c r="O60" s="778"/>
      <c r="P60" s="778"/>
      <c r="Q60" s="778"/>
      <c r="R60" s="779"/>
      <c r="S60" s="780" t="s">
        <v>187</v>
      </c>
      <c r="T60" s="780"/>
      <c r="U60" s="780"/>
      <c r="V60" s="780"/>
      <c r="W60" s="781"/>
      <c r="X60" s="781"/>
      <c r="Y60" s="781"/>
      <c r="Z60" s="781"/>
      <c r="AA60" s="781"/>
      <c r="AB60" s="781"/>
      <c r="AC60" s="781"/>
      <c r="AD60" s="781"/>
      <c r="AE60" s="781"/>
      <c r="AF60" s="781"/>
      <c r="AG60" s="781"/>
      <c r="AH60" s="781"/>
      <c r="AI60" s="782"/>
      <c r="AJ60" s="765" t="s">
        <v>188</v>
      </c>
      <c r="AK60" s="765"/>
      <c r="AL60" s="763"/>
      <c r="AM60" s="763"/>
      <c r="AN60" s="763"/>
      <c r="AO60" s="764"/>
    </row>
    <row r="61" spans="2:41" ht="34.950000000000003" customHeight="1" thickBot="1">
      <c r="B61" s="922" t="s">
        <v>189</v>
      </c>
      <c r="C61" s="923"/>
      <c r="D61" s="923"/>
      <c r="E61" s="923"/>
      <c r="F61" s="923"/>
      <c r="G61" s="923"/>
      <c r="H61" s="923"/>
      <c r="I61" s="923"/>
      <c r="J61" s="937"/>
      <c r="K61" s="937"/>
      <c r="L61" s="937"/>
      <c r="M61" s="937"/>
      <c r="N61" s="937"/>
      <c r="O61" s="937"/>
      <c r="P61" s="937"/>
      <c r="Q61" s="937"/>
      <c r="R61" s="937"/>
      <c r="S61" s="937"/>
      <c r="T61" s="937"/>
      <c r="U61" s="937"/>
      <c r="V61" s="937"/>
      <c r="W61" s="937"/>
      <c r="X61" s="937"/>
      <c r="Y61" s="937"/>
      <c r="Z61" s="937"/>
      <c r="AA61" s="937"/>
      <c r="AB61" s="937"/>
      <c r="AC61" s="937"/>
      <c r="AD61" s="937"/>
      <c r="AE61" s="937"/>
      <c r="AF61" s="937"/>
      <c r="AG61" s="937"/>
      <c r="AH61" s="937"/>
      <c r="AI61" s="938"/>
      <c r="AJ61" s="765" t="s">
        <v>188</v>
      </c>
      <c r="AK61" s="765"/>
      <c r="AL61" s="763"/>
      <c r="AM61" s="763"/>
      <c r="AN61" s="763"/>
      <c r="AO61" s="764"/>
    </row>
    <row r="62" spans="2:41" ht="21.6" customHeight="1" thickBot="1">
      <c r="B62" s="919" t="s">
        <v>1505</v>
      </c>
      <c r="C62" s="920"/>
      <c r="D62" s="920"/>
      <c r="E62" s="920"/>
      <c r="F62" s="920"/>
      <c r="G62" s="920"/>
      <c r="H62" s="920"/>
      <c r="I62" s="920"/>
      <c r="J62" s="920"/>
      <c r="K62" s="920"/>
      <c r="L62" s="920"/>
      <c r="M62" s="920"/>
      <c r="N62" s="920"/>
      <c r="O62" s="920"/>
      <c r="P62" s="920"/>
      <c r="Q62" s="920"/>
      <c r="R62" s="920"/>
      <c r="S62" s="920"/>
      <c r="T62" s="920"/>
      <c r="U62" s="920"/>
      <c r="V62" s="920"/>
      <c r="W62" s="920"/>
      <c r="X62" s="920"/>
      <c r="Y62" s="920"/>
      <c r="Z62" s="920"/>
      <c r="AA62" s="920"/>
      <c r="AB62" s="920"/>
      <c r="AC62" s="920"/>
      <c r="AD62" s="920"/>
      <c r="AE62" s="920"/>
      <c r="AF62" s="920"/>
      <c r="AG62" s="920"/>
      <c r="AH62" s="920"/>
      <c r="AI62" s="920"/>
      <c r="AJ62" s="920"/>
      <c r="AK62" s="920"/>
      <c r="AL62" s="920"/>
      <c r="AM62" s="920"/>
      <c r="AN62" s="920"/>
      <c r="AO62" s="921"/>
    </row>
    <row r="63" spans="2:41" ht="21.6" customHeight="1"/>
    <row r="64" spans="2:41">
      <c r="M64" s="21"/>
    </row>
  </sheetData>
  <sheetProtection algorithmName="SHA-512" hashValue="17OexElMeDMFX7c6CreKZZmUwudr3qSN9xoboN7ev82RmUnIBkUmVok8ML8yik0AXMt/lkU/ypxHp2QCqqJovA==" saltValue="awSsA7M431CA1R2EVQDMBA==" spinCount="100000" sheet="1" selectLockedCells="1"/>
  <mergeCells count="244">
    <mergeCell ref="C9:Z9"/>
    <mergeCell ref="AA9:AD9"/>
    <mergeCell ref="C8:AO8"/>
    <mergeCell ref="AE9:AO9"/>
    <mergeCell ref="B6:L6"/>
    <mergeCell ref="M6:Y6"/>
    <mergeCell ref="Z6:AA6"/>
    <mergeCell ref="AB6:AN6"/>
    <mergeCell ref="B1:AO1"/>
    <mergeCell ref="B2:AO2"/>
    <mergeCell ref="B3:AO3"/>
    <mergeCell ref="B4:AD4"/>
    <mergeCell ref="AE4:AO4"/>
    <mergeCell ref="B5:O5"/>
    <mergeCell ref="P5:X5"/>
    <mergeCell ref="Y5:AD5"/>
    <mergeCell ref="AF5:AH5"/>
    <mergeCell ref="AI5:AO5"/>
    <mergeCell ref="B10:AO10"/>
    <mergeCell ref="B11:AO11"/>
    <mergeCell ref="B12:C12"/>
    <mergeCell ref="D12:M12"/>
    <mergeCell ref="N12:S12"/>
    <mergeCell ref="T12:W12"/>
    <mergeCell ref="X12:AC12"/>
    <mergeCell ref="AD12:AI12"/>
    <mergeCell ref="AJ12:AO12"/>
    <mergeCell ref="D18:G18"/>
    <mergeCell ref="H18:M18"/>
    <mergeCell ref="B17:C18"/>
    <mergeCell ref="D17:M17"/>
    <mergeCell ref="N17:P17"/>
    <mergeCell ref="AD13:AI13"/>
    <mergeCell ref="AJ13:AO13"/>
    <mergeCell ref="B13:C14"/>
    <mergeCell ref="D13:M13"/>
    <mergeCell ref="N13:P13"/>
    <mergeCell ref="Q13:S13"/>
    <mergeCell ref="T13:W13"/>
    <mergeCell ref="X13:AC13"/>
    <mergeCell ref="D14:G14"/>
    <mergeCell ref="H14:M14"/>
    <mergeCell ref="U14:AC14"/>
    <mergeCell ref="AI14:AO14"/>
    <mergeCell ref="N14:T14"/>
    <mergeCell ref="AD14:AH14"/>
    <mergeCell ref="AD15:AI15"/>
    <mergeCell ref="AJ15:AO15"/>
    <mergeCell ref="N16:Q16"/>
    <mergeCell ref="D16:G16"/>
    <mergeCell ref="B15:C16"/>
    <mergeCell ref="D15:M15"/>
    <mergeCell ref="N15:P15"/>
    <mergeCell ref="Q15:S15"/>
    <mergeCell ref="T15:W15"/>
    <mergeCell ref="X15:AC15"/>
    <mergeCell ref="H16:M16"/>
    <mergeCell ref="Y16:AE16"/>
    <mergeCell ref="AF16:AH16"/>
    <mergeCell ref="AI16:AO16"/>
    <mergeCell ref="R16:T16"/>
    <mergeCell ref="Q17:S17"/>
    <mergeCell ref="T17:W17"/>
    <mergeCell ref="X17:AC17"/>
    <mergeCell ref="N18:Q18"/>
    <mergeCell ref="R18:T18"/>
    <mergeCell ref="Y18:AE18"/>
    <mergeCell ref="AF18:AH18"/>
    <mergeCell ref="AJ17:AO17"/>
    <mergeCell ref="AD20:AF20"/>
    <mergeCell ref="AG20:AH20"/>
    <mergeCell ref="X20:AA20"/>
    <mergeCell ref="AB20:AC20"/>
    <mergeCell ref="AD17:AI17"/>
    <mergeCell ref="AI20:AK20"/>
    <mergeCell ref="AL20:AM20"/>
    <mergeCell ref="B19:C21"/>
    <mergeCell ref="D19:M19"/>
    <mergeCell ref="N19:P19"/>
    <mergeCell ref="Q19:S19"/>
    <mergeCell ref="T19:W19"/>
    <mergeCell ref="X19:AC19"/>
    <mergeCell ref="AD19:AI19"/>
    <mergeCell ref="AJ19:AO19"/>
    <mergeCell ref="D20:G20"/>
    <mergeCell ref="H20:M20"/>
    <mergeCell ref="AN20:AO20"/>
    <mergeCell ref="D21:I21"/>
    <mergeCell ref="J21:O21"/>
    <mergeCell ref="P21:W21"/>
    <mergeCell ref="X21:AC21"/>
    <mergeCell ref="AD21:AK21"/>
    <mergeCell ref="AL21:AO21"/>
    <mergeCell ref="N20:O20"/>
    <mergeCell ref="P20:U20"/>
    <mergeCell ref="V20:W20"/>
    <mergeCell ref="B27:C27"/>
    <mergeCell ref="D27:AA27"/>
    <mergeCell ref="AB27:AC27"/>
    <mergeCell ref="AD27:AG27"/>
    <mergeCell ref="AH27:AK27"/>
    <mergeCell ref="AL27:AO27"/>
    <mergeCell ref="B26:C26"/>
    <mergeCell ref="D26:AA26"/>
    <mergeCell ref="AB26:AC26"/>
    <mergeCell ref="AD26:AG26"/>
    <mergeCell ref="AH26:AK26"/>
    <mergeCell ref="AL26:AO26"/>
    <mergeCell ref="B25:C25"/>
    <mergeCell ref="D25:AA25"/>
    <mergeCell ref="AB25:AC25"/>
    <mergeCell ref="AD25:AG25"/>
    <mergeCell ref="AH25:AK25"/>
    <mergeCell ref="AL25:AO25"/>
    <mergeCell ref="B22:W22"/>
    <mergeCell ref="X22:AC22"/>
    <mergeCell ref="AD22:AI22"/>
    <mergeCell ref="AJ22:AO22"/>
    <mergeCell ref="B23:AO23"/>
    <mergeCell ref="B24:AO24"/>
    <mergeCell ref="B29:C29"/>
    <mergeCell ref="D29:AA29"/>
    <mergeCell ref="AB29:AC29"/>
    <mergeCell ref="AD29:AG29"/>
    <mergeCell ref="AH29:AK29"/>
    <mergeCell ref="AL29:AO29"/>
    <mergeCell ref="B28:C28"/>
    <mergeCell ref="D28:AA28"/>
    <mergeCell ref="AB28:AC28"/>
    <mergeCell ref="AD28:AG28"/>
    <mergeCell ref="AH28:AK28"/>
    <mergeCell ref="AL28:AO28"/>
    <mergeCell ref="B31:AC31"/>
    <mergeCell ref="AD31:AG31"/>
    <mergeCell ref="AH31:AK31"/>
    <mergeCell ref="AL31:AO31"/>
    <mergeCell ref="B32:AO32"/>
    <mergeCell ref="B33:AO33"/>
    <mergeCell ref="B30:C30"/>
    <mergeCell ref="D30:AA30"/>
    <mergeCell ref="AB30:AC30"/>
    <mergeCell ref="AD30:AG30"/>
    <mergeCell ref="AH30:AK30"/>
    <mergeCell ref="AL30:AO30"/>
    <mergeCell ref="B35:C35"/>
    <mergeCell ref="D35:AA35"/>
    <mergeCell ref="AB35:AC35"/>
    <mergeCell ref="AD35:AG35"/>
    <mergeCell ref="AH35:AK35"/>
    <mergeCell ref="AL35:AO35"/>
    <mergeCell ref="B34:C34"/>
    <mergeCell ref="D34:AA34"/>
    <mergeCell ref="AB34:AC34"/>
    <mergeCell ref="AD34:AG34"/>
    <mergeCell ref="AH34:AK34"/>
    <mergeCell ref="AL34:AO34"/>
    <mergeCell ref="B37:C37"/>
    <mergeCell ref="D37:AA37"/>
    <mergeCell ref="AB37:AC37"/>
    <mergeCell ref="AD37:AG37"/>
    <mergeCell ref="AH37:AK37"/>
    <mergeCell ref="AL37:AO37"/>
    <mergeCell ref="B36:C36"/>
    <mergeCell ref="D36:AA36"/>
    <mergeCell ref="AB36:AC36"/>
    <mergeCell ref="AD36:AG36"/>
    <mergeCell ref="AH36:AK36"/>
    <mergeCell ref="AL36:AO36"/>
    <mergeCell ref="AD39:AG39"/>
    <mergeCell ref="AH39:AK39"/>
    <mergeCell ref="AL39:AO39"/>
    <mergeCell ref="B38:C38"/>
    <mergeCell ref="D38:AA38"/>
    <mergeCell ref="AB38:AC38"/>
    <mergeCell ref="AD38:AG38"/>
    <mergeCell ref="AH38:AK38"/>
    <mergeCell ref="AL38:AO38"/>
    <mergeCell ref="D50:P50"/>
    <mergeCell ref="Q50:R50"/>
    <mergeCell ref="S50:AB50"/>
    <mergeCell ref="AC50:AD50"/>
    <mergeCell ref="AE50:AO50"/>
    <mergeCell ref="B47:AJ47"/>
    <mergeCell ref="AK47:AO47"/>
    <mergeCell ref="B45:AJ45"/>
    <mergeCell ref="AK45:AO45"/>
    <mergeCell ref="B46:AJ46"/>
    <mergeCell ref="AK46:AO46"/>
    <mergeCell ref="B48:AJ48"/>
    <mergeCell ref="AK48:AO48"/>
    <mergeCell ref="B49:AO49"/>
    <mergeCell ref="B50:C50"/>
    <mergeCell ref="B62:AO62"/>
    <mergeCell ref="B59:AO59"/>
    <mergeCell ref="B60:F60"/>
    <mergeCell ref="G60:R60"/>
    <mergeCell ref="S60:V60"/>
    <mergeCell ref="W60:AI60"/>
    <mergeCell ref="AJ60:AK60"/>
    <mergeCell ref="AL60:AO60"/>
    <mergeCell ref="B56:I56"/>
    <mergeCell ref="J56:AI56"/>
    <mergeCell ref="AJ56:AK56"/>
    <mergeCell ref="AL56:AO56"/>
    <mergeCell ref="B57:AO57"/>
    <mergeCell ref="B58:AO58"/>
    <mergeCell ref="B61:I61"/>
    <mergeCell ref="J61:AI61"/>
    <mergeCell ref="AJ61:AK61"/>
    <mergeCell ref="AL61:AO61"/>
    <mergeCell ref="B51:AO51"/>
    <mergeCell ref="B52:AO52"/>
    <mergeCell ref="B53:AO53"/>
    <mergeCell ref="B54:AO54"/>
    <mergeCell ref="B55:F55"/>
    <mergeCell ref="G55:R55"/>
    <mergeCell ref="S55:V55"/>
    <mergeCell ref="W55:AI55"/>
    <mergeCell ref="AJ55:AK55"/>
    <mergeCell ref="AL55:AO55"/>
    <mergeCell ref="J44:N44"/>
    <mergeCell ref="J43:N43"/>
    <mergeCell ref="B43:I43"/>
    <mergeCell ref="B44:I44"/>
    <mergeCell ref="AI18:AO18"/>
    <mergeCell ref="U18:X18"/>
    <mergeCell ref="U16:X16"/>
    <mergeCell ref="AC43:AJ43"/>
    <mergeCell ref="AC44:AJ44"/>
    <mergeCell ref="X44:AB44"/>
    <mergeCell ref="X43:AB43"/>
    <mergeCell ref="O44:W44"/>
    <mergeCell ref="O43:W43"/>
    <mergeCell ref="AK43:AO43"/>
    <mergeCell ref="AK44:AO44"/>
    <mergeCell ref="B40:AC40"/>
    <mergeCell ref="AD40:AG40"/>
    <mergeCell ref="AH40:AK40"/>
    <mergeCell ref="AL40:AO40"/>
    <mergeCell ref="B41:AO41"/>
    <mergeCell ref="B42:AO42"/>
    <mergeCell ref="B39:C39"/>
    <mergeCell ref="D39:AA39"/>
    <mergeCell ref="AB39:AC39"/>
  </mergeCells>
  <conditionalFormatting sqref="Q50:R50 AC50:AD50 B50:C50">
    <cfRule type="containsBlanks" dxfId="47" priority="43">
      <formula>LEN(TRIM(B50))=0</formula>
    </cfRule>
  </conditionalFormatting>
  <conditionalFormatting sqref="AN20:AO20">
    <cfRule type="cellIs" dxfId="46" priority="21" operator="between">
      <formula>0.01</formula>
      <formula>8.09</formula>
    </cfRule>
  </conditionalFormatting>
  <conditionalFormatting sqref="B13:C14">
    <cfRule type="expression" dxfId="45" priority="20">
      <formula>AND(NOT(ISBLANK(X13)),ISBLANK(B13))</formula>
    </cfRule>
  </conditionalFormatting>
  <conditionalFormatting sqref="B15:C16">
    <cfRule type="expression" dxfId="44" priority="19">
      <formula>AND(NOT(ISBLANK(X15)),ISBLANK(B15))</formula>
    </cfRule>
  </conditionalFormatting>
  <conditionalFormatting sqref="B17:C18">
    <cfRule type="expression" dxfId="43" priority="18">
      <formula>AND(NOT(ISBLANK(X17)),ISBLANK(B17))</formula>
    </cfRule>
  </conditionalFormatting>
  <conditionalFormatting sqref="B19:C21">
    <cfRule type="expression" dxfId="42" priority="17">
      <formula>AND(NOT(ISBLANK(X19)),ISBLANK(B19))</formula>
    </cfRule>
  </conditionalFormatting>
  <conditionalFormatting sqref="B26:C26">
    <cfRule type="expression" dxfId="41" priority="16">
      <formula>AND(NOT(ISBLANK(AD26)),ISBLANK(B26))</formula>
    </cfRule>
  </conditionalFormatting>
  <conditionalFormatting sqref="B27:C27">
    <cfRule type="expression" dxfId="40" priority="15">
      <formula>AND(NOT(ISBLANK(AD27)),ISBLANK(B27))</formula>
    </cfRule>
  </conditionalFormatting>
  <conditionalFormatting sqref="B28:C28">
    <cfRule type="expression" dxfId="39" priority="14">
      <formula>AND(NOT(ISBLANK(AD28)),ISBLANK(B28))</formula>
    </cfRule>
  </conditionalFormatting>
  <conditionalFormatting sqref="B29:C29">
    <cfRule type="expression" dxfId="38" priority="13">
      <formula>AND(NOT(ISBLANK(AD29)),ISBLANK(B29))</formula>
    </cfRule>
  </conditionalFormatting>
  <conditionalFormatting sqref="B30:C30">
    <cfRule type="expression" dxfId="37" priority="12">
      <formula>AND(NOT(ISBLANK(AD30)),ISBLANK(B30))</formula>
    </cfRule>
  </conditionalFormatting>
  <conditionalFormatting sqref="B35:C35">
    <cfRule type="expression" dxfId="36" priority="11">
      <formula>AND(NOT(ISBLANK(AD35)),ISBLANK(B35))</formula>
    </cfRule>
  </conditionalFormatting>
  <conditionalFormatting sqref="B36:C36">
    <cfRule type="expression" dxfId="35" priority="10">
      <formula>AND(NOT(ISBLANK(AD36)),ISBLANK(B36))</formula>
    </cfRule>
  </conditionalFormatting>
  <conditionalFormatting sqref="B37:C37">
    <cfRule type="expression" dxfId="34" priority="9">
      <formula>AND(NOT(ISBLANK(AD37)),ISBLANK(B37))</formula>
    </cfRule>
  </conditionalFormatting>
  <conditionalFormatting sqref="B38:C38">
    <cfRule type="expression" dxfId="33" priority="8">
      <formula>AND(NOT(ISBLANK(AD38)),ISBLANK(B38))</formula>
    </cfRule>
  </conditionalFormatting>
  <conditionalFormatting sqref="B39:C39">
    <cfRule type="expression" dxfId="32" priority="7">
      <formula>AND(NOT(ISBLANK(AD39)),ISBLANK(B39))</formula>
    </cfRule>
  </conditionalFormatting>
  <conditionalFormatting sqref="B8">
    <cfRule type="containsBlanks" dxfId="31" priority="2">
      <formula>LEN(TRIM(B8))=0</formula>
    </cfRule>
  </conditionalFormatting>
  <conditionalFormatting sqref="AA9:AD9">
    <cfRule type="containsBlanks" dxfId="30" priority="1">
      <formula>LEN(TRIM(AA9))=0</formula>
    </cfRule>
  </conditionalFormatting>
  <dataValidations count="1">
    <dataValidation type="list" allowBlank="1" showInputMessage="1" showErrorMessage="1" sqref="B50 Q50:R50 AC50:AD50" xr:uid="{59C66274-5ADB-4D91-A9C0-EFBAFE45609E}">
      <formula1>"Yes,No"</formula1>
    </dataValidation>
  </dataValidations>
  <hyperlinks>
    <hyperlink ref="AE4:AO4" r:id="rId1" display="ResidentialEEApplications@ameren.com" xr:uid="{4901079C-3932-44F9-B85C-706D8B01BD15}"/>
  </hyperlinks>
  <pageMargins left="0.7" right="0.7" top="0.75" bottom="0.75" header="0.3" footer="0.3"/>
  <pageSetup scale="85" fitToHeight="0" orientation="portrait" horizontalDpi="1200" verticalDpi="1200" r:id="rId2"/>
  <rowBreaks count="1" manualBreakCount="1">
    <brk id="41" max="16383" man="1"/>
  </rowBreaks>
  <drawing r:id="rId3"/>
  <legacyDrawing r:id="rId4"/>
  <extLst>
    <ext xmlns:x14="http://schemas.microsoft.com/office/spreadsheetml/2009/9/main" uri="{78C0D931-6437-407d-A8EE-F0AAD7539E65}">
      <x14:conditionalFormattings>
        <x14:conditionalFormatting xmlns:xm="http://schemas.microsoft.com/office/excel/2006/main">
          <x14:cfRule type="expression" priority="5" id="{2D7664BB-9E54-4535-8106-75AE8CA4FE99}">
            <xm:f>AND($AD$20&lt;15.2,$D$19=Measures!$I$34)</xm:f>
            <x14:dxf>
              <fill>
                <patternFill>
                  <bgColor rgb="FFFF5050"/>
                </patternFill>
              </fill>
            </x14:dxf>
          </x14:cfRule>
          <x14:cfRule type="expression" priority="6" id="{56CCFFA4-B90F-4CA2-948D-D594E0FEE89D}">
            <xm:f>AND($AD$20&lt;15.2,$D$19=Measures!$I$35)</xm:f>
            <x14:dxf>
              <fill>
                <patternFill>
                  <bgColor rgb="FFFF5050"/>
                </patternFill>
              </fill>
            </x14:dxf>
          </x14:cfRule>
          <xm:sqref>AD20:AF20</xm:sqref>
        </x14:conditionalFormatting>
        <x14:conditionalFormatting xmlns:xm="http://schemas.microsoft.com/office/excel/2006/main">
          <x14:cfRule type="expression" priority="3" id="{AB2A04CF-3084-4212-B2B6-6122C25BBE39}">
            <xm:f>AND($AN$20&lt;8.1,$D$19=Measures!$I$34)</xm:f>
            <x14:dxf>
              <fill>
                <patternFill>
                  <bgColor rgb="FFFF5050"/>
                </patternFill>
              </fill>
            </x14:dxf>
          </x14:cfRule>
          <x14:cfRule type="expression" priority="4" id="{FBE0BCE4-216F-4063-A9B8-C1A265D2064E}">
            <xm:f>AND($AN$20&lt;8.55,$D$19=Measures!$I$35)</xm:f>
            <x14:dxf>
              <fill>
                <patternFill>
                  <bgColor rgb="FFFF5050"/>
                </patternFill>
              </fill>
            </x14:dxf>
          </x14:cfRule>
          <xm:sqref>AN20:AO20</xm:sqref>
        </x14:conditionalFormatting>
        <x14:conditionalFormatting xmlns:xm="http://schemas.microsoft.com/office/excel/2006/main">
          <x14:cfRule type="expression" priority="30" id="{3CA4059D-16F9-43A7-A139-CD5462FC81C7}">
            <xm:f>'Project Score'!$C$34&gt;2</xm:f>
            <x14:dxf>
              <fill>
                <patternFill>
                  <bgColor rgb="FFFF0000"/>
                </patternFill>
              </fill>
            </x14:dxf>
          </x14:cfRule>
          <x14:cfRule type="expression" priority="31" id="{038591F4-68AF-4479-A2F9-42F3A5E551F5}">
            <xm:f>AND('Project Score'!$C$34&gt;1,'Project Score'!$C$34&lt;=2)</xm:f>
            <x14:dxf>
              <fill>
                <patternFill>
                  <bgColor rgb="FFFFFF00"/>
                </patternFill>
              </fill>
            </x14:dxf>
          </x14:cfRule>
          <x14:cfRule type="expression" priority="32" id="{954BA216-2BE5-4ADF-BC7C-FEA3B59927A6}">
            <xm:f>AND('Project Score'!$C$34&gt;0,'Project Score'!$C$34&lt;=1)</xm:f>
            <x14:dxf>
              <fill>
                <patternFill>
                  <bgColor rgb="FF92D050"/>
                </patternFill>
              </fill>
            </x14:dxf>
          </x14:cfRule>
          <xm:sqref>AK48:AO48</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r:uid="{C2AC5BCA-48DB-4B6D-81A8-ED5C1553664F}">
          <x14:formula1>
            <xm:f>Lists!$J$6:$J$8</xm:f>
          </x14:formula1>
          <xm:sqref>B13:C21 B26:C30 B35:C39</xm:sqref>
        </x14:dataValidation>
        <x14:dataValidation type="list" allowBlank="1" showInputMessage="1" showErrorMessage="1" xr:uid="{B854867A-BBC7-4891-BDB2-52CC567BA88F}">
          <x14:formula1>
            <xm:f>Measures!$I$33:$I$35</xm:f>
          </x14:formula1>
          <xm:sqref>D19:M19</xm:sqref>
        </x14:dataValidation>
        <x14:dataValidation type="list" errorStyle="warning" allowBlank="1" showInputMessage="1" showErrorMessage="1" xr:uid="{3F3A3CBB-0A50-459E-B8D6-71ECFBB495E2}">
          <x14:formula1>
            <xm:f>Lists!$G$24:$G$54</xm:f>
          </x14:formula1>
          <xm:sqref>D35:AA39</xm:sqref>
        </x14:dataValidation>
        <x14:dataValidation type="list" allowBlank="1" showInputMessage="1" showErrorMessage="1" xr:uid="{7E98B683-22A1-489B-A5F2-1741BCCE4A07}">
          <x14:formula1>
            <xm:f>Lists!$N$1:$N$3</xm:f>
          </x14:formula1>
          <xm:sqref>H14:M14 H16:M16 H18:M18</xm:sqref>
        </x14:dataValidation>
        <x14:dataValidation type="list" allowBlank="1" showInputMessage="1" showErrorMessage="1" xr:uid="{8240C802-B5D3-4628-A85D-77E088A240CC}">
          <x14:formula1>
            <xm:f>Lists!$J$10:$J$12</xm:f>
          </x14:formula1>
          <xm:sqref>T13:W13 T15:W15 T17:W17 T19:W19</xm:sqref>
        </x14:dataValidation>
        <x14:dataValidation type="list" errorStyle="warning" allowBlank="1" showInputMessage="1" showErrorMessage="1" xr:uid="{611EFFE1-F6FF-4E10-AE73-EC95E365DF34}">
          <x14:formula1>
            <xm:f>Lists!$N$6:$N$14</xm:f>
          </x14:formula1>
          <xm:sqref>D26:AA30</xm:sqref>
        </x14:dataValidation>
        <x14:dataValidation type="list" allowBlank="1" showInputMessage="1" showErrorMessage="1" xr:uid="{7E0A5442-CC64-414B-BAF8-CA3BCACC7D58}">
          <x14:formula1>
            <xm:f>Lists!$L$1:$L$2</xm:f>
          </x14:formula1>
          <xm:sqref>B8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12A866-3FF1-4603-B991-C4DE692DBC9B}">
  <dimension ref="A1:R48"/>
  <sheetViews>
    <sheetView workbookViewId="0">
      <selection activeCell="O16" sqref="O16"/>
    </sheetView>
  </sheetViews>
  <sheetFormatPr defaultRowHeight="14.4"/>
  <cols>
    <col min="1" max="1" width="23.44140625" bestFit="1" customWidth="1"/>
    <col min="15" max="15" width="23.44140625" bestFit="1" customWidth="1"/>
    <col min="17" max="17" width="21.109375" customWidth="1"/>
    <col min="18" max="18" width="24.109375" customWidth="1"/>
  </cols>
  <sheetData>
    <row r="1" spans="1:18">
      <c r="A1" t="s">
        <v>367</v>
      </c>
      <c r="B1" t="s">
        <v>368</v>
      </c>
      <c r="C1" t="s">
        <v>229</v>
      </c>
      <c r="O1" t="s">
        <v>367</v>
      </c>
    </row>
    <row r="2" spans="1:18">
      <c r="A2" s="178" t="s">
        <v>369</v>
      </c>
      <c r="B2" s="178"/>
      <c r="C2" s="178"/>
      <c r="D2" s="178"/>
      <c r="E2" s="178"/>
      <c r="F2" s="178"/>
      <c r="G2" s="178"/>
      <c r="H2" s="178"/>
      <c r="I2" s="178"/>
      <c r="J2" s="178"/>
      <c r="K2" s="178"/>
    </row>
    <row r="3" spans="1:18">
      <c r="A3" s="179">
        <v>1</v>
      </c>
      <c r="B3" s="120">
        <f>'HE-PY24 Pricing'!D47</f>
        <v>3870</v>
      </c>
      <c r="C3" s="191">
        <f>'HE-PY24 Pricing'!B47</f>
        <v>4300</v>
      </c>
      <c r="O3" t="s">
        <v>370</v>
      </c>
      <c r="P3" s="51" t="s">
        <v>322</v>
      </c>
      <c r="Q3" s="154" t="s">
        <v>337</v>
      </c>
      <c r="R3" s="154" t="s">
        <v>344</v>
      </c>
    </row>
    <row r="4" spans="1:18">
      <c r="A4" s="179">
        <v>40001</v>
      </c>
      <c r="B4" s="120">
        <f>'HE-PY24 Pricing'!D48</f>
        <v>4005</v>
      </c>
      <c r="C4" s="191">
        <f>'HE-PY24 Pricing'!B48</f>
        <v>4450</v>
      </c>
      <c r="O4" t="s">
        <v>371</v>
      </c>
      <c r="P4" s="51" t="s">
        <v>325</v>
      </c>
      <c r="Q4" s="154" t="s">
        <v>339</v>
      </c>
      <c r="R4" s="154" t="s">
        <v>346</v>
      </c>
    </row>
    <row r="5" spans="1:18">
      <c r="A5" s="179">
        <v>60001</v>
      </c>
      <c r="B5" s="120">
        <f>'HE-PY24 Pricing'!D49</f>
        <v>4185</v>
      </c>
      <c r="C5" s="191">
        <f>'HE-PY24 Pricing'!B49</f>
        <v>4650</v>
      </c>
      <c r="O5" t="s">
        <v>372</v>
      </c>
      <c r="P5" s="51" t="s">
        <v>326</v>
      </c>
      <c r="Q5" s="154" t="s">
        <v>340</v>
      </c>
      <c r="R5" s="154" t="s">
        <v>347</v>
      </c>
    </row>
    <row r="6" spans="1:18">
      <c r="A6" s="179">
        <v>80001</v>
      </c>
      <c r="B6" s="120">
        <f>'HE-PY24 Pricing'!D50</f>
        <v>4320</v>
      </c>
      <c r="C6" s="191">
        <f>'HE-PY24 Pricing'!B50</f>
        <v>4800</v>
      </c>
      <c r="O6" t="s">
        <v>373</v>
      </c>
      <c r="P6" s="51" t="s">
        <v>327</v>
      </c>
      <c r="Q6" s="180"/>
      <c r="R6" s="180"/>
    </row>
    <row r="7" spans="1:18">
      <c r="A7" s="181">
        <v>100001</v>
      </c>
      <c r="B7" s="120">
        <f>'HE-PY24 Pricing'!D51</f>
        <v>4500</v>
      </c>
      <c r="C7" s="191">
        <f>'HE-PY24 Pricing'!B51</f>
        <v>5000</v>
      </c>
      <c r="O7" t="s">
        <v>374</v>
      </c>
      <c r="P7" s="51" t="s">
        <v>328</v>
      </c>
      <c r="Q7" s="180"/>
      <c r="R7" s="180"/>
    </row>
    <row r="8" spans="1:18">
      <c r="A8" s="181"/>
      <c r="B8" s="124"/>
      <c r="C8" s="122"/>
      <c r="O8" t="s">
        <v>320</v>
      </c>
      <c r="P8" s="51" t="s">
        <v>329</v>
      </c>
      <c r="Q8" s="180"/>
      <c r="R8" s="180"/>
    </row>
    <row r="9" spans="1:18">
      <c r="A9" s="178" t="s">
        <v>375</v>
      </c>
      <c r="B9" s="178"/>
      <c r="C9" s="178"/>
      <c r="D9" s="178"/>
      <c r="E9" s="178"/>
      <c r="F9" s="178"/>
      <c r="G9" s="178"/>
      <c r="H9" s="178"/>
      <c r="I9" s="178"/>
      <c r="J9" s="178"/>
      <c r="K9" s="178"/>
      <c r="P9" s="51" t="s">
        <v>330</v>
      </c>
      <c r="Q9" s="180"/>
      <c r="R9" s="180"/>
    </row>
    <row r="10" spans="1:18">
      <c r="A10" s="63">
        <v>1</v>
      </c>
      <c r="B10" s="120">
        <f>'HE-PY24 Pricing'!D53</f>
        <v>6840</v>
      </c>
      <c r="C10" s="118">
        <f>'HE-PY24 Pricing'!B53</f>
        <v>7600</v>
      </c>
      <c r="P10" s="51" t="s">
        <v>331</v>
      </c>
    </row>
    <row r="11" spans="1:18">
      <c r="A11" s="63">
        <v>40001</v>
      </c>
      <c r="B11" s="120">
        <f>'HE-PY24 Pricing'!D54</f>
        <v>7065</v>
      </c>
      <c r="C11" s="118">
        <f>'HE-PY24 Pricing'!B54</f>
        <v>7850</v>
      </c>
    </row>
    <row r="12" spans="1:18">
      <c r="A12" s="63">
        <v>60001</v>
      </c>
      <c r="B12" s="120">
        <f>'HE-PY24 Pricing'!D55</f>
        <v>7290</v>
      </c>
      <c r="C12" s="118">
        <f>'HE-PY24 Pricing'!B55</f>
        <v>8100</v>
      </c>
    </row>
    <row r="13" spans="1:18">
      <c r="A13" s="63">
        <v>80001</v>
      </c>
      <c r="B13" s="120">
        <f>'HE-PY24 Pricing'!D56</f>
        <v>7515</v>
      </c>
      <c r="C13" s="118">
        <f>'HE-PY24 Pricing'!B56</f>
        <v>8350</v>
      </c>
    </row>
    <row r="14" spans="1:18">
      <c r="A14" s="63">
        <v>100001</v>
      </c>
      <c r="B14" s="120">
        <f>'HE-PY24 Pricing'!D57</f>
        <v>7785</v>
      </c>
      <c r="C14" s="118">
        <f>'HE-PY24 Pricing'!B57</f>
        <v>8650</v>
      </c>
    </row>
    <row r="15" spans="1:18">
      <c r="A15" s="66">
        <v>120001</v>
      </c>
      <c r="B15" s="120">
        <f>'HE-PY24 Pricing'!D58</f>
        <v>8010</v>
      </c>
      <c r="C15" s="122">
        <f>'HE-PY24 Pricing'!B58</f>
        <v>8900</v>
      </c>
    </row>
    <row r="16" spans="1:18">
      <c r="A16" s="178" t="s">
        <v>376</v>
      </c>
      <c r="B16" s="178"/>
      <c r="C16" s="178"/>
      <c r="D16" s="178"/>
      <c r="E16" s="178"/>
      <c r="F16" s="178"/>
      <c r="G16" s="178"/>
      <c r="H16" s="178"/>
      <c r="I16" s="178"/>
      <c r="J16" s="178"/>
      <c r="K16" s="178"/>
      <c r="O16" t="s">
        <v>377</v>
      </c>
      <c r="P16" t="s">
        <v>376</v>
      </c>
    </row>
    <row r="17" spans="1:16">
      <c r="A17" s="63">
        <v>1</v>
      </c>
      <c r="B17" s="182">
        <v>3000</v>
      </c>
      <c r="C17" s="122"/>
      <c r="O17" t="s">
        <v>378</v>
      </c>
      <c r="P17" s="63" t="s">
        <v>371</v>
      </c>
    </row>
    <row r="18" spans="1:16">
      <c r="A18" s="63">
        <v>40001</v>
      </c>
      <c r="B18" s="182">
        <v>3000</v>
      </c>
      <c r="C18" s="122"/>
    </row>
    <row r="19" spans="1:16">
      <c r="A19" s="63">
        <v>60001</v>
      </c>
      <c r="B19" s="182">
        <v>3000</v>
      </c>
      <c r="C19" s="122"/>
    </row>
    <row r="20" spans="1:16">
      <c r="A20" s="63">
        <v>80001</v>
      </c>
      <c r="B20" s="182">
        <v>3000</v>
      </c>
      <c r="C20" s="122"/>
    </row>
    <row r="21" spans="1:16">
      <c r="A21" s="63">
        <v>100001</v>
      </c>
      <c r="B21" s="182">
        <v>3000</v>
      </c>
      <c r="C21" s="122"/>
    </row>
    <row r="22" spans="1:16">
      <c r="A22" s="66">
        <v>120001</v>
      </c>
      <c r="B22" s="182">
        <v>3000</v>
      </c>
      <c r="C22" s="122"/>
    </row>
    <row r="23" spans="1:16" ht="43.2">
      <c r="A23" s="185" t="s">
        <v>529</v>
      </c>
      <c r="B23" s="178"/>
      <c r="C23" s="178"/>
      <c r="D23" s="178"/>
      <c r="E23" s="178"/>
      <c r="F23" s="178"/>
      <c r="G23" s="178"/>
      <c r="H23" s="178"/>
      <c r="I23" s="178"/>
      <c r="J23" s="178"/>
      <c r="K23" s="178"/>
    </row>
    <row r="24" spans="1:16">
      <c r="A24" s="183">
        <v>1</v>
      </c>
      <c r="B24" s="120">
        <f>'HE-PY24 Pricing'!D60</f>
        <v>4095</v>
      </c>
      <c r="C24" s="118">
        <f>'HE-PY24 Pricing'!B60</f>
        <v>4550</v>
      </c>
    </row>
    <row r="25" spans="1:16">
      <c r="A25" s="183">
        <v>18001</v>
      </c>
      <c r="B25" s="120">
        <f>'HE-PY24 Pricing'!D61</f>
        <v>4275</v>
      </c>
      <c r="C25" s="118">
        <f>'HE-PY24 Pricing'!B61</f>
        <v>4750</v>
      </c>
    </row>
    <row r="26" spans="1:16">
      <c r="A26" s="183">
        <v>24001</v>
      </c>
      <c r="B26" s="120">
        <f>'HE-PY24 Pricing'!D62</f>
        <v>4455</v>
      </c>
      <c r="C26" s="118">
        <f>'HE-PY24 Pricing'!B62</f>
        <v>4950</v>
      </c>
    </row>
    <row r="27" spans="1:16">
      <c r="A27" s="183">
        <v>30001</v>
      </c>
      <c r="B27" s="120">
        <f>'HE-PY24 Pricing'!D63</f>
        <v>4770</v>
      </c>
      <c r="C27" s="118">
        <f>'HE-PY24 Pricing'!B63</f>
        <v>5300</v>
      </c>
    </row>
    <row r="28" spans="1:16">
      <c r="A28" s="183">
        <v>36001</v>
      </c>
      <c r="B28" s="120">
        <f>'HE-PY24 Pricing'!D64</f>
        <v>5085</v>
      </c>
      <c r="C28" s="118">
        <f>'HE-PY24 Pricing'!B64</f>
        <v>5650</v>
      </c>
    </row>
    <row r="29" spans="1:16">
      <c r="A29" s="183">
        <v>42001</v>
      </c>
      <c r="B29" s="120">
        <f>'HE-PY24 Pricing'!D65</f>
        <v>5355</v>
      </c>
      <c r="C29" s="118">
        <f>'HE-PY24 Pricing'!B65</f>
        <v>5950</v>
      </c>
    </row>
    <row r="30" spans="1:16">
      <c r="A30" s="183">
        <v>48001</v>
      </c>
      <c r="B30" s="120">
        <f>'HE-PY24 Pricing'!D66</f>
        <v>5670</v>
      </c>
      <c r="C30" s="118">
        <f>'HE-PY24 Pricing'!B66</f>
        <v>6300</v>
      </c>
    </row>
    <row r="31" spans="1:16">
      <c r="A31" s="184">
        <v>54001</v>
      </c>
      <c r="B31" s="120">
        <f>'HE-PY24 Pricing'!D67</f>
        <v>6030</v>
      </c>
      <c r="C31" s="122">
        <f>'HE-PY24 Pricing'!B67</f>
        <v>6700</v>
      </c>
    </row>
    <row r="32" spans="1:16" ht="43.2">
      <c r="A32" s="185" t="s">
        <v>530</v>
      </c>
      <c r="B32" s="178"/>
      <c r="C32" s="178"/>
      <c r="D32" s="178"/>
      <c r="E32" s="178" t="s">
        <v>74</v>
      </c>
      <c r="F32" s="178"/>
      <c r="G32" s="178"/>
      <c r="H32" s="178"/>
      <c r="I32" s="178"/>
      <c r="J32" s="178"/>
      <c r="K32" s="178"/>
    </row>
    <row r="33" spans="1:6">
      <c r="A33" s="183">
        <v>1</v>
      </c>
      <c r="B33" s="120">
        <f>'HE-PY24 Pricing'!D69</f>
        <v>8235</v>
      </c>
      <c r="C33" s="118">
        <f>'HE-PY24 Pricing'!B69</f>
        <v>9150</v>
      </c>
    </row>
    <row r="34" spans="1:6">
      <c r="A34" s="183">
        <v>18001</v>
      </c>
      <c r="B34" s="120">
        <f>'HE-PY24 Pricing'!D70</f>
        <v>8505</v>
      </c>
      <c r="C34" s="118">
        <f>'HE-PY24 Pricing'!B70</f>
        <v>9450</v>
      </c>
    </row>
    <row r="35" spans="1:6">
      <c r="A35" s="183">
        <v>24001</v>
      </c>
      <c r="B35" s="120">
        <f>'HE-PY24 Pricing'!D71</f>
        <v>8595</v>
      </c>
      <c r="C35" s="118">
        <f>'HE-PY24 Pricing'!B71</f>
        <v>9550</v>
      </c>
    </row>
    <row r="36" spans="1:6">
      <c r="A36" s="183">
        <v>30001</v>
      </c>
      <c r="B36" s="120">
        <f>'HE-PY24 Pricing'!D72</f>
        <v>9090</v>
      </c>
      <c r="C36" s="118">
        <f>'HE-PY24 Pricing'!B72</f>
        <v>10100</v>
      </c>
    </row>
    <row r="37" spans="1:6">
      <c r="A37" s="183">
        <v>36001</v>
      </c>
      <c r="B37" s="120">
        <f>'HE-PY24 Pricing'!D73</f>
        <v>9270</v>
      </c>
      <c r="C37" s="118">
        <f>'HE-PY24 Pricing'!B73</f>
        <v>10300</v>
      </c>
    </row>
    <row r="38" spans="1:6">
      <c r="A38" s="183">
        <v>42001</v>
      </c>
      <c r="B38" s="120">
        <f>'HE-PY24 Pricing'!D74</f>
        <v>9810</v>
      </c>
      <c r="C38" s="118">
        <f>'HE-PY24 Pricing'!B74</f>
        <v>10900</v>
      </c>
    </row>
    <row r="39" spans="1:6">
      <c r="A39" s="183">
        <v>48001</v>
      </c>
      <c r="B39" s="120">
        <f>'HE-PY24 Pricing'!D75</f>
        <v>10350</v>
      </c>
      <c r="C39" s="118">
        <f>'HE-PY24 Pricing'!B75</f>
        <v>11500</v>
      </c>
    </row>
    <row r="40" spans="1:6">
      <c r="A40" s="184">
        <v>54001</v>
      </c>
      <c r="B40" s="120">
        <f>'HE-PY24 Pricing'!D76</f>
        <v>10485</v>
      </c>
      <c r="C40" s="122">
        <f>'HE-PY24 Pricing'!B76</f>
        <v>11650</v>
      </c>
    </row>
    <row r="41" spans="1:6" ht="15" customHeight="1">
      <c r="A41" s="178" t="s">
        <v>336</v>
      </c>
      <c r="B41" s="185"/>
      <c r="C41" s="185"/>
      <c r="D41" s="185"/>
      <c r="E41" s="185"/>
      <c r="F41" s="185"/>
    </row>
    <row r="42" spans="1:6">
      <c r="A42" s="186">
        <v>1</v>
      </c>
      <c r="B42" s="147">
        <f>'HE-PY24 Pricing'!D80</f>
        <v>4320</v>
      </c>
      <c r="C42" s="118">
        <f>'HE-PY24 Pricing'!B80</f>
        <v>4800</v>
      </c>
    </row>
    <row r="43" spans="1:6">
      <c r="A43" s="186">
        <v>50</v>
      </c>
      <c r="B43" s="147">
        <f>'HE-PY24 Pricing'!D81</f>
        <v>4455</v>
      </c>
      <c r="C43" s="118">
        <f>'HE-PY24 Pricing'!B81</f>
        <v>4950</v>
      </c>
    </row>
    <row r="44" spans="1:6">
      <c r="A44" s="187">
        <v>60</v>
      </c>
      <c r="B44" s="147">
        <f>'HE-PY24 Pricing'!D82</f>
        <v>4635</v>
      </c>
      <c r="C44" s="122">
        <f>'HE-PY24 Pricing'!B82</f>
        <v>5150</v>
      </c>
    </row>
    <row r="45" spans="1:6" ht="15" customHeight="1">
      <c r="A45" s="178" t="s">
        <v>343</v>
      </c>
      <c r="B45" s="185"/>
      <c r="C45" s="185"/>
      <c r="D45" s="185"/>
      <c r="E45" s="185"/>
      <c r="F45" s="185"/>
    </row>
    <row r="46" spans="1:6">
      <c r="A46" s="186">
        <v>1</v>
      </c>
      <c r="B46" s="192">
        <f>'HE-PY24 Pricing'!D85</f>
        <v>570</v>
      </c>
      <c r="C46" s="118">
        <f>'HE-PY24 Pricing'!B85</f>
        <v>635</v>
      </c>
    </row>
    <row r="47" spans="1:6">
      <c r="A47" s="186">
        <v>8000</v>
      </c>
      <c r="B47" s="192">
        <f>'HE-PY24 Pricing'!D86</f>
        <v>675</v>
      </c>
      <c r="C47" s="118">
        <f>'HE-PY24 Pricing'!B86</f>
        <v>750</v>
      </c>
    </row>
    <row r="48" spans="1:6">
      <c r="A48" s="186">
        <v>12000</v>
      </c>
      <c r="B48" s="192">
        <f>'HE-PY24 Pricing'!D87</f>
        <v>830</v>
      </c>
      <c r="C48" s="118">
        <f>'HE-PY24 Pricing'!B87</f>
        <v>920</v>
      </c>
    </row>
  </sheetData>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7D2EC7-0176-4311-8A04-E987D6F31CAE}">
  <sheetPr>
    <pageSetUpPr fitToPage="1"/>
  </sheetPr>
  <dimension ref="B1:S28"/>
  <sheetViews>
    <sheetView zoomScale="145" zoomScaleNormal="145" workbookViewId="0">
      <selection activeCell="D6" sqref="D6:J6"/>
    </sheetView>
  </sheetViews>
  <sheetFormatPr defaultColWidth="9.109375" defaultRowHeight="14.4"/>
  <cols>
    <col min="1" max="1" width="0.88671875" customWidth="1"/>
    <col min="2" max="4" width="4.88671875" customWidth="1"/>
    <col min="5" max="17" width="5.6640625" customWidth="1"/>
    <col min="18" max="24" width="4.88671875" customWidth="1"/>
  </cols>
  <sheetData>
    <row r="1" spans="2:19" s="196" customFormat="1" ht="23.4" customHeight="1">
      <c r="B1" s="1155" t="s">
        <v>630</v>
      </c>
      <c r="C1" s="1155"/>
      <c r="D1" s="1155"/>
      <c r="E1" s="1155"/>
      <c r="F1" s="1155"/>
      <c r="G1" s="1155"/>
      <c r="H1" s="1155"/>
      <c r="I1" s="1155"/>
      <c r="J1" s="1155"/>
      <c r="K1" s="1155"/>
      <c r="L1" s="1155"/>
      <c r="M1" s="1155"/>
      <c r="N1" s="1155"/>
      <c r="O1" s="1155"/>
      <c r="P1" s="1155"/>
      <c r="Q1" s="1155"/>
      <c r="R1" s="1155"/>
      <c r="S1" s="1155"/>
    </row>
    <row r="2" spans="2:19" s="197" customFormat="1" ht="21">
      <c r="B2" s="1156" t="s">
        <v>440</v>
      </c>
      <c r="C2" s="1156"/>
      <c r="D2" s="1156"/>
      <c r="E2" s="1156"/>
      <c r="F2" s="1156"/>
      <c r="G2" s="1156"/>
      <c r="H2" s="1156"/>
      <c r="I2" s="1156"/>
      <c r="J2" s="1156"/>
      <c r="K2" s="1156"/>
      <c r="L2" s="1156"/>
      <c r="M2" s="1156"/>
      <c r="N2" s="1156"/>
      <c r="O2" s="1156"/>
      <c r="P2" s="1156"/>
      <c r="Q2" s="1156"/>
      <c r="R2" s="1156"/>
      <c r="S2" s="1156"/>
    </row>
    <row r="3" spans="2:19" ht="33" customHeight="1">
      <c r="B3" s="1166" t="s">
        <v>441</v>
      </c>
      <c r="C3" s="1166"/>
      <c r="D3" s="1166"/>
      <c r="E3" s="1166"/>
      <c r="F3" s="1166"/>
      <c r="G3" s="1166"/>
      <c r="H3" s="1166"/>
      <c r="I3" s="1166"/>
      <c r="J3" s="1166"/>
      <c r="K3" s="1166"/>
      <c r="L3" s="1166"/>
      <c r="M3" s="1166"/>
      <c r="N3" s="1166"/>
      <c r="O3" s="1166"/>
      <c r="P3" s="1166"/>
      <c r="Q3" s="1183"/>
      <c r="R3" s="1183"/>
      <c r="S3" s="1183"/>
    </row>
    <row r="4" spans="2:19" s="198" customFormat="1" ht="18" customHeight="1">
      <c r="B4" s="1157" t="s">
        <v>427</v>
      </c>
      <c r="C4" s="1158"/>
      <c r="D4" s="1158"/>
      <c r="E4" s="1158"/>
      <c r="F4" s="1158"/>
      <c r="G4" s="1158"/>
      <c r="H4" s="1158"/>
      <c r="I4" s="1158"/>
      <c r="J4" s="1158"/>
      <c r="K4" s="1158"/>
      <c r="L4" s="1158"/>
      <c r="M4" s="1158"/>
      <c r="N4" s="1158"/>
      <c r="O4" s="1158"/>
      <c r="P4" s="1158"/>
      <c r="Q4" s="1158"/>
      <c r="R4" s="1158"/>
      <c r="S4" s="1159"/>
    </row>
    <row r="5" spans="2:19" s="2" customFormat="1" ht="24" customHeight="1">
      <c r="B5" s="1167" t="s">
        <v>428</v>
      </c>
      <c r="C5" s="1168"/>
      <c r="D5" s="1215" t="str">
        <f>IF(ISBLANK('Project Information'!M12),"",'Project Information'!M12)</f>
        <v/>
      </c>
      <c r="E5" s="1215"/>
      <c r="F5" s="1215"/>
      <c r="G5" s="1216"/>
      <c r="H5" s="1217" t="s">
        <v>442</v>
      </c>
      <c r="I5" s="1217"/>
      <c r="J5" s="1217"/>
      <c r="K5" s="1218" t="str">
        <f>IF(ISBLANK('Project Information'!E6),"",'Project Information'!E6)</f>
        <v/>
      </c>
      <c r="L5" s="1218"/>
      <c r="M5" s="1218"/>
      <c r="N5" s="1218"/>
      <c r="O5" s="1218"/>
      <c r="P5" s="1218"/>
      <c r="Q5" s="1218"/>
      <c r="R5" s="1218"/>
      <c r="S5" s="1219"/>
    </row>
    <row r="6" spans="2:19" s="2" customFormat="1" ht="24" customHeight="1">
      <c r="B6" s="1169" t="s">
        <v>443</v>
      </c>
      <c r="C6" s="1170"/>
      <c r="D6" s="1181"/>
      <c r="E6" s="1181"/>
      <c r="F6" s="1181"/>
      <c r="G6" s="1181"/>
      <c r="H6" s="1181"/>
      <c r="I6" s="1181"/>
      <c r="J6" s="1182"/>
      <c r="K6" s="1229" t="s">
        <v>430</v>
      </c>
      <c r="L6" s="1230"/>
      <c r="M6" s="1230"/>
      <c r="N6" s="1181"/>
      <c r="O6" s="1181"/>
      <c r="P6" s="1181"/>
      <c r="Q6" s="1181"/>
      <c r="R6" s="1181"/>
      <c r="S6" s="1182"/>
    </row>
    <row r="7" spans="2:19" s="2" customFormat="1" ht="3" customHeight="1">
      <c r="B7" s="1222"/>
      <c r="C7" s="1222"/>
      <c r="D7" s="1222"/>
      <c r="E7" s="1222"/>
      <c r="F7" s="1222"/>
      <c r="G7" s="1222"/>
      <c r="H7" s="1222"/>
      <c r="I7" s="1222"/>
      <c r="J7" s="1222"/>
      <c r="K7" s="1222"/>
      <c r="L7" s="1222"/>
      <c r="M7" s="1222"/>
      <c r="N7" s="1222"/>
      <c r="O7" s="1222"/>
      <c r="P7" s="1222"/>
      <c r="Q7" s="1222"/>
      <c r="R7" s="1222"/>
      <c r="S7" s="1222"/>
    </row>
    <row r="8" spans="2:19" s="199" customFormat="1" ht="18" customHeight="1">
      <c r="B8" s="1191" t="s">
        <v>432</v>
      </c>
      <c r="C8" s="1192"/>
      <c r="D8" s="1192"/>
      <c r="E8" s="1192"/>
      <c r="F8" s="1192"/>
      <c r="G8" s="1192"/>
      <c r="H8" s="1192"/>
      <c r="I8" s="1192"/>
      <c r="J8" s="1192"/>
      <c r="K8" s="1192"/>
      <c r="L8" s="1192"/>
      <c r="M8" s="1192"/>
      <c r="N8" s="1192"/>
      <c r="O8" s="1192"/>
      <c r="P8" s="1192"/>
      <c r="Q8" s="1192"/>
      <c r="R8" s="1192"/>
      <c r="S8" s="1193"/>
    </row>
    <row r="9" spans="2:19" s="199" customFormat="1" ht="18" customHeight="1">
      <c r="B9" s="1169" t="s">
        <v>431</v>
      </c>
      <c r="C9" s="1170"/>
      <c r="D9" s="1170"/>
      <c r="E9" s="201"/>
      <c r="F9" s="1220" t="s">
        <v>444</v>
      </c>
      <c r="G9" s="1220"/>
      <c r="H9" s="1220"/>
      <c r="I9" s="1220"/>
      <c r="J9" s="1220"/>
      <c r="K9" s="1220"/>
      <c r="L9" s="1220"/>
      <c r="M9" s="1220"/>
      <c r="N9" s="1220"/>
      <c r="O9" s="1220"/>
      <c r="P9" s="1220"/>
      <c r="Q9" s="1220"/>
      <c r="R9" s="1220"/>
      <c r="S9" s="1221"/>
    </row>
    <row r="10" spans="2:19" ht="19.95" customHeight="1">
      <c r="B10" s="1226" t="s">
        <v>445</v>
      </c>
      <c r="C10" s="1227"/>
      <c r="D10" s="1227"/>
      <c r="E10" s="1227"/>
      <c r="F10" s="1227"/>
      <c r="G10" s="1228"/>
      <c r="H10" s="1226" t="s">
        <v>456</v>
      </c>
      <c r="I10" s="1227"/>
      <c r="J10" s="1227"/>
      <c r="K10" s="1227"/>
      <c r="L10" s="1227"/>
      <c r="M10" s="1227"/>
      <c r="N10" s="1227"/>
      <c r="O10" s="1227"/>
      <c r="P10" s="1228"/>
      <c r="Q10" s="1226" t="s">
        <v>216</v>
      </c>
      <c r="R10" s="1227"/>
      <c r="S10" s="1228"/>
    </row>
    <row r="11" spans="2:19" ht="19.95" customHeight="1">
      <c r="B11" s="1180"/>
      <c r="C11" s="1181"/>
      <c r="D11" s="1181"/>
      <c r="E11" s="1181"/>
      <c r="F11" s="1181"/>
      <c r="G11" s="1182"/>
      <c r="H11" s="1207"/>
      <c r="I11" s="1208"/>
      <c r="J11" s="1208"/>
      <c r="K11" s="1208"/>
      <c r="L11" s="1208"/>
      <c r="M11" s="1208"/>
      <c r="N11" s="1208"/>
      <c r="O11" s="1208"/>
      <c r="P11" s="1209"/>
      <c r="Q11" s="1223"/>
      <c r="R11" s="1224"/>
      <c r="S11" s="1225"/>
    </row>
    <row r="12" spans="2:19" ht="19.95" customHeight="1">
      <c r="B12" s="1180"/>
      <c r="C12" s="1181"/>
      <c r="D12" s="1181"/>
      <c r="E12" s="1181"/>
      <c r="F12" s="1181"/>
      <c r="G12" s="1182"/>
      <c r="H12" s="1207"/>
      <c r="I12" s="1208"/>
      <c r="J12" s="1208"/>
      <c r="K12" s="1208"/>
      <c r="L12" s="1208"/>
      <c r="M12" s="1208"/>
      <c r="N12" s="1208"/>
      <c r="O12" s="1208"/>
      <c r="P12" s="1209"/>
      <c r="Q12" s="1231"/>
      <c r="R12" s="1232"/>
      <c r="S12" s="1233"/>
    </row>
    <row r="13" spans="2:19" ht="19.95" customHeight="1">
      <c r="B13" s="1180"/>
      <c r="C13" s="1181"/>
      <c r="D13" s="1181"/>
      <c r="E13" s="1181"/>
      <c r="F13" s="1181"/>
      <c r="G13" s="1182"/>
      <c r="H13" s="1207"/>
      <c r="I13" s="1208"/>
      <c r="J13" s="1208"/>
      <c r="K13" s="1208"/>
      <c r="L13" s="1208"/>
      <c r="M13" s="1208"/>
      <c r="N13" s="1208"/>
      <c r="O13" s="1208"/>
      <c r="P13" s="1209"/>
      <c r="Q13" s="1231"/>
      <c r="R13" s="1232"/>
      <c r="S13" s="1233"/>
    </row>
    <row r="14" spans="2:19" ht="19.95" customHeight="1">
      <c r="B14" s="1180"/>
      <c r="C14" s="1181"/>
      <c r="D14" s="1181"/>
      <c r="E14" s="1181"/>
      <c r="F14" s="1181"/>
      <c r="G14" s="1182"/>
      <c r="H14" s="1207"/>
      <c r="I14" s="1208"/>
      <c r="J14" s="1208"/>
      <c r="K14" s="1208"/>
      <c r="L14" s="1208"/>
      <c r="M14" s="1208"/>
      <c r="N14" s="1208"/>
      <c r="O14" s="1208"/>
      <c r="P14" s="1209"/>
      <c r="Q14" s="1231"/>
      <c r="R14" s="1232"/>
      <c r="S14" s="1233"/>
    </row>
    <row r="15" spans="2:19" ht="19.95" customHeight="1">
      <c r="B15" s="1180"/>
      <c r="C15" s="1181"/>
      <c r="D15" s="1181"/>
      <c r="E15" s="1181"/>
      <c r="F15" s="1181"/>
      <c r="G15" s="1182"/>
      <c r="H15" s="1207"/>
      <c r="I15" s="1208"/>
      <c r="J15" s="1208"/>
      <c r="K15" s="1208"/>
      <c r="L15" s="1208"/>
      <c r="M15" s="1208"/>
      <c r="N15" s="1208"/>
      <c r="O15" s="1208"/>
      <c r="P15" s="1209"/>
      <c r="Q15" s="1231"/>
      <c r="R15" s="1232"/>
      <c r="S15" s="1233"/>
    </row>
    <row r="16" spans="2:19" ht="19.95" customHeight="1">
      <c r="B16" s="1210" t="s">
        <v>433</v>
      </c>
      <c r="C16" s="1211"/>
      <c r="D16" s="1211"/>
      <c r="E16" s="1211"/>
      <c r="F16" s="1211"/>
      <c r="G16" s="1211"/>
      <c r="H16" s="1211"/>
      <c r="I16" s="1211"/>
      <c r="J16" s="1211"/>
      <c r="K16" s="1211"/>
      <c r="L16" s="1211"/>
      <c r="M16" s="1211"/>
      <c r="N16" s="1211"/>
      <c r="O16" s="1211"/>
      <c r="P16" s="1211"/>
      <c r="Q16" s="1212">
        <f>SUM(Q11:Q15)</f>
        <v>0</v>
      </c>
      <c r="R16" s="1213"/>
      <c r="S16" s="1214"/>
    </row>
    <row r="17" spans="2:19" ht="22.5" customHeight="1">
      <c r="B17" s="1195" t="s">
        <v>434</v>
      </c>
      <c r="C17" s="1196"/>
      <c r="D17" s="1196"/>
      <c r="E17" s="1201"/>
      <c r="F17" s="1201"/>
      <c r="G17" s="1201"/>
      <c r="H17" s="1201"/>
      <c r="I17" s="1201"/>
      <c r="J17" s="1201"/>
      <c r="K17" s="1201"/>
      <c r="L17" s="1201"/>
      <c r="M17" s="1201"/>
      <c r="N17" s="1201"/>
      <c r="O17" s="1201"/>
      <c r="P17" s="1201"/>
      <c r="Q17" s="1201"/>
      <c r="R17" s="1201"/>
      <c r="S17" s="1202"/>
    </row>
    <row r="18" spans="2:19" ht="22.5" customHeight="1">
      <c r="B18" s="1197"/>
      <c r="C18" s="1198"/>
      <c r="D18" s="1198"/>
      <c r="E18" s="1203"/>
      <c r="F18" s="1203"/>
      <c r="G18" s="1203"/>
      <c r="H18" s="1203"/>
      <c r="I18" s="1203"/>
      <c r="J18" s="1203"/>
      <c r="K18" s="1203"/>
      <c r="L18" s="1203"/>
      <c r="M18" s="1203"/>
      <c r="N18" s="1203"/>
      <c r="O18" s="1203"/>
      <c r="P18" s="1203"/>
      <c r="Q18" s="1203"/>
      <c r="R18" s="1203"/>
      <c r="S18" s="1204"/>
    </row>
    <row r="19" spans="2:19" ht="21.75" customHeight="1">
      <c r="B19" s="1197"/>
      <c r="C19" s="1198"/>
      <c r="D19" s="1198"/>
      <c r="E19" s="1203"/>
      <c r="F19" s="1203"/>
      <c r="G19" s="1203"/>
      <c r="H19" s="1203"/>
      <c r="I19" s="1203"/>
      <c r="J19" s="1203"/>
      <c r="K19" s="1203"/>
      <c r="L19" s="1203"/>
      <c r="M19" s="1203"/>
      <c r="N19" s="1203"/>
      <c r="O19" s="1203"/>
      <c r="P19" s="1203"/>
      <c r="Q19" s="1203"/>
      <c r="R19" s="1203"/>
      <c r="S19" s="1204"/>
    </row>
    <row r="20" spans="2:19" ht="22.5" customHeight="1">
      <c r="B20" s="1199"/>
      <c r="C20" s="1200"/>
      <c r="D20" s="1200"/>
      <c r="E20" s="1205"/>
      <c r="F20" s="1205"/>
      <c r="G20" s="1205"/>
      <c r="H20" s="1205"/>
      <c r="I20" s="1205"/>
      <c r="J20" s="1205"/>
      <c r="K20" s="1205"/>
      <c r="L20" s="1205"/>
      <c r="M20" s="1205"/>
      <c r="N20" s="1205"/>
      <c r="O20" s="1205"/>
      <c r="P20" s="1205"/>
      <c r="Q20" s="1205"/>
      <c r="R20" s="1205"/>
      <c r="S20" s="1206"/>
    </row>
    <row r="21" spans="2:19" ht="3" customHeight="1">
      <c r="B21" s="1194"/>
      <c r="C21" s="1194"/>
      <c r="D21" s="1194"/>
      <c r="E21" s="1194"/>
      <c r="F21" s="1194"/>
      <c r="G21" s="1194"/>
      <c r="H21" s="1194"/>
      <c r="I21" s="1194"/>
      <c r="J21" s="1194"/>
      <c r="K21" s="1194"/>
      <c r="L21" s="1194"/>
      <c r="M21" s="1194"/>
      <c r="N21" s="1194"/>
      <c r="O21" s="1194"/>
      <c r="P21" s="1194"/>
      <c r="Q21" s="1194"/>
      <c r="R21" s="1194"/>
      <c r="S21" s="1194"/>
    </row>
    <row r="22" spans="2:19" ht="22.5" customHeight="1">
      <c r="B22" s="1191" t="s">
        <v>457</v>
      </c>
      <c r="C22" s="1192"/>
      <c r="D22" s="1192"/>
      <c r="E22" s="1192"/>
      <c r="F22" s="1192"/>
      <c r="G22" s="1192"/>
      <c r="H22" s="1192"/>
      <c r="I22" s="1192"/>
      <c r="J22" s="1192"/>
      <c r="K22" s="1192"/>
      <c r="L22" s="1192"/>
      <c r="M22" s="1192"/>
      <c r="N22" s="1192"/>
      <c r="O22" s="1192"/>
      <c r="P22" s="1192"/>
      <c r="Q22" s="1192"/>
      <c r="R22" s="1192"/>
      <c r="S22" s="1193"/>
    </row>
    <row r="23" spans="2:19" ht="30" customHeight="1">
      <c r="B23" s="1171" t="s">
        <v>435</v>
      </c>
      <c r="C23" s="1172"/>
      <c r="D23" s="1172"/>
      <c r="E23" s="1172"/>
      <c r="F23" s="1172"/>
      <c r="G23" s="1172"/>
      <c r="H23" s="1172"/>
      <c r="I23" s="1172"/>
      <c r="J23" s="1172"/>
      <c r="K23" s="1172"/>
      <c r="L23" s="1172"/>
      <c r="M23" s="1172"/>
      <c r="N23" s="1172"/>
      <c r="O23" s="1172"/>
      <c r="P23" s="1172"/>
      <c r="Q23" s="1172"/>
      <c r="R23" s="1172"/>
      <c r="S23" s="1173"/>
    </row>
    <row r="24" spans="2:19" s="2" customFormat="1" ht="45" customHeight="1">
      <c r="B24" s="1184" t="s">
        <v>436</v>
      </c>
      <c r="C24" s="1185"/>
      <c r="D24" s="1188"/>
      <c r="E24" s="1188"/>
      <c r="F24" s="1188"/>
      <c r="G24" s="1188"/>
      <c r="H24" s="1188"/>
      <c r="I24" s="1184" t="s">
        <v>437</v>
      </c>
      <c r="J24" s="1185"/>
      <c r="K24" s="1189"/>
      <c r="L24" s="1189"/>
      <c r="M24" s="1189"/>
      <c r="N24" s="1189"/>
      <c r="O24" s="1190"/>
      <c r="P24" s="202" t="s">
        <v>429</v>
      </c>
      <c r="Q24" s="1186"/>
      <c r="R24" s="1186"/>
      <c r="S24" s="1187"/>
    </row>
    <row r="25" spans="2:19" s="2" customFormat="1" ht="45" customHeight="1">
      <c r="B25" s="1174" t="s">
        <v>438</v>
      </c>
      <c r="C25" s="1175"/>
      <c r="D25" s="1175"/>
      <c r="E25" s="1175"/>
      <c r="F25" s="1176"/>
      <c r="G25" s="1176"/>
      <c r="H25" s="1176"/>
      <c r="I25" s="1176"/>
      <c r="J25" s="1176"/>
      <c r="K25" s="1176"/>
      <c r="L25" s="1176"/>
      <c r="M25" s="1176"/>
      <c r="N25" s="1176"/>
      <c r="O25" s="1177"/>
      <c r="P25" s="202" t="s">
        <v>429</v>
      </c>
      <c r="Q25" s="1178"/>
      <c r="R25" s="1178"/>
      <c r="S25" s="1179"/>
    </row>
    <row r="26" spans="2:19" ht="14.4" customHeight="1">
      <c r="B26" s="1160" t="s">
        <v>439</v>
      </c>
      <c r="C26" s="1161"/>
      <c r="D26" s="1161"/>
      <c r="E26" s="1161"/>
      <c r="F26" s="1161"/>
      <c r="G26" s="1161"/>
      <c r="H26" s="1161"/>
      <c r="I26" s="1161"/>
      <c r="J26" s="1161"/>
      <c r="K26" s="1161"/>
      <c r="L26" s="1161"/>
      <c r="M26" s="1161"/>
      <c r="N26" s="1161"/>
      <c r="O26" s="1161"/>
      <c r="P26" s="1161"/>
      <c r="Q26" s="1161"/>
      <c r="R26" s="1161"/>
      <c r="S26" s="1162"/>
    </row>
    <row r="27" spans="2:19" ht="34.950000000000003" customHeight="1">
      <c r="B27" s="1163"/>
      <c r="C27" s="1164"/>
      <c r="D27" s="1164"/>
      <c r="E27" s="1164"/>
      <c r="F27" s="1164"/>
      <c r="G27" s="1164"/>
      <c r="H27" s="1164"/>
      <c r="I27" s="1164"/>
      <c r="J27" s="1164"/>
      <c r="K27" s="1164"/>
      <c r="L27" s="1164"/>
      <c r="M27" s="1164"/>
      <c r="N27" s="1164"/>
      <c r="O27" s="1164"/>
      <c r="P27" s="1164"/>
      <c r="Q27" s="1164"/>
      <c r="R27" s="1164"/>
      <c r="S27" s="1165"/>
    </row>
    <row r="28" spans="2:19">
      <c r="B28" s="200"/>
      <c r="C28" s="200"/>
      <c r="D28" s="200"/>
      <c r="E28" s="200"/>
      <c r="F28" s="200"/>
      <c r="G28" s="200"/>
      <c r="H28" s="200"/>
      <c r="I28" s="200"/>
      <c r="J28" s="200"/>
      <c r="K28" s="200"/>
      <c r="L28" s="200"/>
      <c r="M28" s="200"/>
      <c r="N28" s="200"/>
      <c r="O28" s="200"/>
      <c r="P28" s="200"/>
      <c r="Q28" s="200"/>
      <c r="R28" s="200"/>
      <c r="S28" s="200"/>
    </row>
  </sheetData>
  <sheetProtection algorithmName="SHA-512" hashValue="LjWNufF14LOR+m4wGC/7tnEbZ8ZUzLxv/1ibwol3MGuLTa3fVS5QN2XrQDIN0crrkkt4M5tXBze8mhZKP04v/A==" saltValue="9DzrbGYST/B48fDpnFotxg==" spinCount="100000" sheet="1" selectLockedCells="1"/>
  <mergeCells count="51">
    <mergeCell ref="H12:P12"/>
    <mergeCell ref="Q15:S15"/>
    <mergeCell ref="Q14:S14"/>
    <mergeCell ref="Q13:S13"/>
    <mergeCell ref="Q12:S12"/>
    <mergeCell ref="Q11:S11"/>
    <mergeCell ref="B10:G10"/>
    <mergeCell ref="K6:M6"/>
    <mergeCell ref="N6:S6"/>
    <mergeCell ref="H10:P10"/>
    <mergeCell ref="Q10:S10"/>
    <mergeCell ref="D5:G5"/>
    <mergeCell ref="H5:J5"/>
    <mergeCell ref="K5:S5"/>
    <mergeCell ref="B9:D9"/>
    <mergeCell ref="F9:S9"/>
    <mergeCell ref="B7:S7"/>
    <mergeCell ref="D6:J6"/>
    <mergeCell ref="B8:S8"/>
    <mergeCell ref="I24:J24"/>
    <mergeCell ref="K24:O24"/>
    <mergeCell ref="B14:G14"/>
    <mergeCell ref="B11:G11"/>
    <mergeCell ref="B12:G12"/>
    <mergeCell ref="B22:S22"/>
    <mergeCell ref="B21:S21"/>
    <mergeCell ref="B17:D20"/>
    <mergeCell ref="E17:S20"/>
    <mergeCell ref="B13:G13"/>
    <mergeCell ref="H15:P15"/>
    <mergeCell ref="H14:P14"/>
    <mergeCell ref="H13:P13"/>
    <mergeCell ref="B16:P16"/>
    <mergeCell ref="Q16:S16"/>
    <mergeCell ref="H11:P11"/>
    <mergeCell ref="B1:S1"/>
    <mergeCell ref="B2:S2"/>
    <mergeCell ref="B4:S4"/>
    <mergeCell ref="B26:S27"/>
    <mergeCell ref="B3:P3"/>
    <mergeCell ref="B5:C5"/>
    <mergeCell ref="B6:C6"/>
    <mergeCell ref="B23:S23"/>
    <mergeCell ref="B25:E25"/>
    <mergeCell ref="F25:O25"/>
    <mergeCell ref="Q25:S25"/>
    <mergeCell ref="B15:G15"/>
    <mergeCell ref="Q3:S3"/>
    <mergeCell ref="B24:C24"/>
    <mergeCell ref="Q24:S24"/>
    <mergeCell ref="D24:H24"/>
  </mergeCells>
  <printOptions horizontalCentered="1" gridLines="1"/>
  <pageMargins left="0.25" right="0.25" top="0.75" bottom="0.75" header="0.3" footer="0.3"/>
  <pageSetup orientation="portrait" horizontalDpi="4294967293" verticalDpi="4294967293"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31EAFEB-F3B8-4A67-A8C6-FB13B91BF8AB}">
          <x14:formula1>
            <xm:f>Lists!$L$1:$L$2</xm:f>
          </x14:formula1>
          <xm:sqref>E9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EFE06-3AEB-4E10-9AA8-2F51A56AE12A}">
  <sheetPr>
    <pageSetUpPr fitToPage="1"/>
  </sheetPr>
  <dimension ref="B1:AA274"/>
  <sheetViews>
    <sheetView zoomScale="130" zoomScaleNormal="130" workbookViewId="0">
      <selection activeCell="V8" sqref="V8:X8"/>
    </sheetView>
  </sheetViews>
  <sheetFormatPr defaultColWidth="9.109375" defaultRowHeight="14.4"/>
  <cols>
    <col min="1" max="1" width="5.6640625" customWidth="1"/>
    <col min="2" max="24" width="4.44140625" customWidth="1"/>
    <col min="25" max="25" width="5.6640625" customWidth="1"/>
  </cols>
  <sheetData>
    <row r="1" spans="2:24" ht="5.0999999999999996" customHeight="1">
      <c r="B1" s="4"/>
      <c r="C1" s="4"/>
      <c r="D1" s="4"/>
      <c r="E1" s="4"/>
      <c r="F1" s="4"/>
      <c r="G1" s="4"/>
      <c r="H1" s="4"/>
      <c r="I1" s="4"/>
      <c r="J1" s="4"/>
      <c r="K1" s="4"/>
      <c r="L1" s="4"/>
      <c r="M1" s="4"/>
      <c r="N1" s="4"/>
      <c r="O1" s="4"/>
      <c r="P1" s="4"/>
      <c r="Q1" s="4"/>
      <c r="R1" s="4"/>
      <c r="S1" s="4"/>
      <c r="T1" s="4"/>
      <c r="U1" s="4"/>
      <c r="V1" s="4"/>
      <c r="W1" s="4"/>
      <c r="X1" s="4"/>
    </row>
    <row r="2" spans="2:24" ht="24.9" customHeight="1">
      <c r="B2" s="1235" t="s">
        <v>630</v>
      </c>
      <c r="C2" s="1235"/>
      <c r="D2" s="1235"/>
      <c r="E2" s="1235"/>
      <c r="F2" s="1235"/>
      <c r="G2" s="1235"/>
      <c r="H2" s="1235"/>
      <c r="I2" s="1235"/>
      <c r="J2" s="1235"/>
      <c r="K2" s="1235"/>
      <c r="L2" s="1235"/>
      <c r="M2" s="1235"/>
      <c r="N2" s="1235"/>
      <c r="O2" s="1235"/>
      <c r="P2" s="1235"/>
      <c r="Q2" s="1235"/>
      <c r="R2" s="1235"/>
      <c r="S2" s="1235"/>
      <c r="T2" s="1235"/>
      <c r="U2" s="1235"/>
      <c r="V2" s="1235"/>
      <c r="W2" s="1235"/>
      <c r="X2" s="1235"/>
    </row>
    <row r="3" spans="2:24" ht="23.25" customHeight="1">
      <c r="B3" s="1234" t="s">
        <v>647</v>
      </c>
      <c r="C3" s="1234"/>
      <c r="D3" s="1234"/>
      <c r="E3" s="1234"/>
      <c r="F3" s="1234"/>
      <c r="G3" s="1234"/>
      <c r="H3" s="1234"/>
      <c r="I3" s="1234"/>
      <c r="J3" s="1234"/>
      <c r="K3" s="1234"/>
      <c r="L3" s="1234"/>
      <c r="M3" s="1234"/>
      <c r="N3" s="1234"/>
      <c r="O3" s="1234"/>
      <c r="P3" s="1234"/>
      <c r="Q3" s="1234"/>
      <c r="R3" s="1234"/>
      <c r="S3" s="1234"/>
      <c r="T3" s="1234"/>
      <c r="U3" s="1234"/>
      <c r="V3" s="1234"/>
      <c r="W3" s="1234"/>
      <c r="X3" s="1234"/>
    </row>
    <row r="4" spans="2:24" ht="14.4" customHeight="1">
      <c r="B4" s="1002"/>
      <c r="C4" s="1002"/>
      <c r="D4" s="1002"/>
      <c r="E4" s="1002"/>
      <c r="F4" s="1002"/>
      <c r="G4" s="1002"/>
      <c r="H4" s="1002"/>
      <c r="I4" s="1002"/>
      <c r="J4" s="1002"/>
      <c r="K4" s="1002"/>
      <c r="L4" s="1002"/>
      <c r="M4" s="1002"/>
      <c r="N4" s="1002"/>
      <c r="O4" s="1002"/>
      <c r="P4" s="1002"/>
      <c r="Q4" s="1002"/>
      <c r="R4" s="1002"/>
      <c r="S4" s="1002"/>
      <c r="T4" s="1002"/>
      <c r="U4" s="1002"/>
      <c r="V4" s="1002"/>
      <c r="W4" s="1002"/>
      <c r="X4" s="1002"/>
    </row>
    <row r="5" spans="2:24">
      <c r="B5" s="1263" t="s">
        <v>917</v>
      </c>
      <c r="C5" s="1263"/>
      <c r="D5" s="1263"/>
      <c r="E5" s="1263"/>
      <c r="F5" s="1263"/>
      <c r="G5" s="1263"/>
      <c r="H5" s="1263"/>
      <c r="I5" s="1263"/>
      <c r="J5" s="1263"/>
      <c r="K5" s="1263"/>
      <c r="L5" s="1263"/>
      <c r="M5" s="1263"/>
      <c r="N5" s="1263"/>
      <c r="O5" s="1263"/>
      <c r="P5" s="1263"/>
      <c r="Q5" s="1263"/>
      <c r="R5" s="1263"/>
      <c r="S5" s="1263"/>
      <c r="T5" s="1263"/>
      <c r="U5" s="1263"/>
      <c r="V5" s="1263"/>
      <c r="W5" s="1263"/>
      <c r="X5" s="1263"/>
    </row>
    <row r="6" spans="2:24" ht="21.9" customHeight="1">
      <c r="B6" s="1322" t="s">
        <v>921</v>
      </c>
      <c r="C6" s="1323"/>
      <c r="D6" s="1323"/>
      <c r="E6" s="1323"/>
      <c r="F6" s="1323"/>
      <c r="G6" s="1323"/>
      <c r="H6" s="1323"/>
      <c r="I6" s="1323"/>
      <c r="J6" s="1323"/>
      <c r="K6" s="1323"/>
      <c r="L6" s="1323"/>
      <c r="M6" s="1323"/>
      <c r="N6" s="1323"/>
      <c r="O6" s="1323"/>
      <c r="P6" s="1323"/>
      <c r="Q6" s="1323"/>
      <c r="R6" s="1323"/>
      <c r="S6" s="1323"/>
      <c r="T6" s="1323"/>
      <c r="U6" s="1323"/>
      <c r="V6" s="1323"/>
      <c r="W6" s="1323"/>
      <c r="X6" s="1324"/>
    </row>
    <row r="7" spans="2:24" ht="20.100000000000001" customHeight="1">
      <c r="B7" s="1264" t="s">
        <v>648</v>
      </c>
      <c r="C7" s="1265"/>
      <c r="D7" s="1265"/>
      <c r="E7" s="1267" t="str">
        <f>IF('Project Information'!E6="","",'Project Information'!E6)</f>
        <v/>
      </c>
      <c r="F7" s="1267"/>
      <c r="G7" s="1267"/>
      <c r="H7" s="1267"/>
      <c r="I7" s="1267"/>
      <c r="J7" s="1267"/>
      <c r="K7" s="1267"/>
      <c r="L7" s="1267"/>
      <c r="M7" s="1267"/>
      <c r="N7" s="389" t="s">
        <v>649</v>
      </c>
      <c r="O7" s="1267" t="str">
        <f>IF('Project Information'!X6="","",'Project Information'!X6)</f>
        <v/>
      </c>
      <c r="P7" s="1267"/>
      <c r="Q7" s="1267"/>
      <c r="R7" s="1267"/>
      <c r="S7" s="390" t="s">
        <v>1</v>
      </c>
      <c r="T7" s="389"/>
      <c r="U7" s="389" t="s">
        <v>650</v>
      </c>
      <c r="V7" s="1267" t="str">
        <f>IF('Project Information'!AK6="","",'Project Information'!AK6)</f>
        <v/>
      </c>
      <c r="W7" s="1267"/>
      <c r="X7" s="1372"/>
    </row>
    <row r="8" spans="2:24" ht="20.100000000000001" customHeight="1">
      <c r="B8" s="1264" t="s">
        <v>918</v>
      </c>
      <c r="C8" s="1265"/>
      <c r="D8" s="1265"/>
      <c r="E8" s="1373" t="str">
        <f>IF('Project Information'!M12="","",'Project Information'!M12)</f>
        <v/>
      </c>
      <c r="F8" s="1373"/>
      <c r="G8" s="1373"/>
      <c r="H8" s="1373"/>
      <c r="I8" s="1373"/>
      <c r="J8" s="1373"/>
      <c r="K8" s="1373"/>
      <c r="L8" s="1373"/>
      <c r="M8" s="1373"/>
      <c r="N8" s="1373"/>
      <c r="O8" s="1373"/>
      <c r="P8" s="1373"/>
      <c r="Q8" s="1266" t="s">
        <v>919</v>
      </c>
      <c r="R8" s="1266"/>
      <c r="S8" s="1266"/>
      <c r="T8" s="1266"/>
      <c r="U8" s="1266"/>
      <c r="V8" s="1370"/>
      <c r="W8" s="1370"/>
      <c r="X8" s="1371"/>
    </row>
    <row r="9" spans="2:24" ht="5.25" customHeight="1">
      <c r="B9" s="1236"/>
      <c r="C9" s="1236"/>
      <c r="D9" s="1236"/>
      <c r="E9" s="1236"/>
      <c r="F9" s="1236"/>
      <c r="G9" s="1236"/>
      <c r="H9" s="1236"/>
      <c r="I9" s="1236"/>
      <c r="J9" s="1236"/>
      <c r="K9" s="1236"/>
      <c r="L9" s="1236"/>
      <c r="M9" s="1236"/>
      <c r="N9" s="1236"/>
      <c r="O9" s="1236"/>
      <c r="P9" s="1236"/>
      <c r="Q9" s="1236"/>
      <c r="R9" s="1236"/>
      <c r="S9" s="1236"/>
      <c r="T9" s="1236"/>
      <c r="U9" s="1236"/>
      <c r="V9" s="1236"/>
      <c r="W9" s="1236"/>
      <c r="X9" s="1236"/>
    </row>
    <row r="10" spans="2:24" ht="21.9" customHeight="1">
      <c r="B10" s="1322" t="s">
        <v>920</v>
      </c>
      <c r="C10" s="1323"/>
      <c r="D10" s="1323"/>
      <c r="E10" s="1323"/>
      <c r="F10" s="1323"/>
      <c r="G10" s="1323"/>
      <c r="H10" s="1323"/>
      <c r="I10" s="1323"/>
      <c r="J10" s="1323"/>
      <c r="K10" s="1323"/>
      <c r="L10" s="1323"/>
      <c r="M10" s="1323"/>
      <c r="N10" s="1323"/>
      <c r="O10" s="1323"/>
      <c r="P10" s="1323"/>
      <c r="Q10" s="1323"/>
      <c r="R10" s="1323"/>
      <c r="S10" s="1323"/>
      <c r="T10" s="1323"/>
      <c r="U10" s="1323"/>
      <c r="V10" s="1323"/>
      <c r="W10" s="1323"/>
      <c r="X10" s="1324"/>
    </row>
    <row r="11" spans="2:24" ht="15.9" customHeight="1">
      <c r="B11" s="1257" t="s">
        <v>651</v>
      </c>
      <c r="C11" s="1258"/>
      <c r="D11" s="1258"/>
      <c r="E11" s="1258"/>
      <c r="F11" s="1258"/>
      <c r="G11" s="1258"/>
      <c r="H11" s="1258"/>
      <c r="I11" s="1258"/>
      <c r="J11" s="1258"/>
      <c r="K11" s="1258"/>
      <c r="L11" s="1258"/>
      <c r="M11" s="1258"/>
      <c r="N11" s="1258"/>
      <c r="O11" s="1258"/>
      <c r="P11" s="313"/>
      <c r="Q11" s="1259" t="s">
        <v>652</v>
      </c>
      <c r="R11" s="1259"/>
      <c r="S11" s="1259"/>
      <c r="T11" s="313"/>
      <c r="U11" s="1259" t="s">
        <v>431</v>
      </c>
      <c r="V11" s="1259"/>
      <c r="W11" s="1259"/>
      <c r="X11" s="1260"/>
    </row>
    <row r="12" spans="2:24" ht="45" customHeight="1">
      <c r="B12" s="1375" t="s">
        <v>653</v>
      </c>
      <c r="C12" s="1351"/>
      <c r="D12" s="1351"/>
      <c r="E12" s="1351"/>
      <c r="F12" s="1351"/>
      <c r="G12" s="1351"/>
      <c r="H12" s="1351"/>
      <c r="I12" s="1351"/>
      <c r="J12" s="1351"/>
      <c r="K12" s="1351"/>
      <c r="L12" s="1351"/>
      <c r="M12" s="1351"/>
      <c r="N12" s="1351"/>
      <c r="O12" s="1351"/>
      <c r="P12" s="1351"/>
      <c r="Q12" s="1351"/>
      <c r="R12" s="1351"/>
      <c r="S12" s="1351"/>
      <c r="T12" s="1351"/>
      <c r="U12" s="1351"/>
      <c r="V12" s="1351"/>
      <c r="W12" s="1351"/>
      <c r="X12" s="1352"/>
    </row>
    <row r="13" spans="2:24" ht="20.100000000000001" customHeight="1">
      <c r="B13" s="314"/>
      <c r="C13" s="1239" t="s">
        <v>654</v>
      </c>
      <c r="D13" s="1239"/>
      <c r="E13" s="1239"/>
      <c r="F13" s="1239"/>
      <c r="G13" s="1239"/>
      <c r="H13" s="1284" t="s">
        <v>655</v>
      </c>
      <c r="I13" s="1286"/>
      <c r="J13" s="1368"/>
      <c r="K13" s="1368"/>
      <c r="L13" s="1368"/>
      <c r="M13" s="1368"/>
      <c r="N13" s="1368"/>
      <c r="O13" s="1368"/>
      <c r="P13" s="1368"/>
      <c r="Q13" s="1368"/>
      <c r="R13" s="1368"/>
      <c r="S13" s="1368"/>
      <c r="T13" s="1368"/>
      <c r="U13" s="1368"/>
      <c r="V13" s="1368"/>
      <c r="W13" s="1368"/>
      <c r="X13" s="1369"/>
    </row>
    <row r="14" spans="2:24" ht="20.100000000000001" customHeight="1">
      <c r="B14" s="314"/>
      <c r="C14" s="1239" t="s">
        <v>656</v>
      </c>
      <c r="D14" s="1239"/>
      <c r="E14" s="1239"/>
      <c r="F14" s="1239"/>
      <c r="G14" s="1239"/>
      <c r="H14" s="1284" t="s">
        <v>655</v>
      </c>
      <c r="I14" s="1286"/>
      <c r="J14" s="1368"/>
      <c r="K14" s="1368"/>
      <c r="L14" s="1368"/>
      <c r="M14" s="1368"/>
      <c r="N14" s="1368"/>
      <c r="O14" s="1368"/>
      <c r="P14" s="1368"/>
      <c r="Q14" s="1368"/>
      <c r="R14" s="1368"/>
      <c r="S14" s="1368"/>
      <c r="T14" s="1368"/>
      <c r="U14" s="1368"/>
      <c r="V14" s="1368"/>
      <c r="W14" s="1368"/>
      <c r="X14" s="1369"/>
    </row>
    <row r="15" spans="2:24" ht="20.100000000000001" customHeight="1">
      <c r="B15" s="314"/>
      <c r="C15" s="1374" t="s">
        <v>657</v>
      </c>
      <c r="D15" s="1374"/>
      <c r="E15" s="1374"/>
      <c r="F15" s="1374"/>
      <c r="G15" s="1374"/>
      <c r="H15" s="1284" t="s">
        <v>655</v>
      </c>
      <c r="I15" s="1286"/>
      <c r="J15" s="1368"/>
      <c r="K15" s="1368"/>
      <c r="L15" s="1368"/>
      <c r="M15" s="1368"/>
      <c r="N15" s="1368"/>
      <c r="O15" s="1368"/>
      <c r="P15" s="1368"/>
      <c r="Q15" s="1368"/>
      <c r="R15" s="1368"/>
      <c r="S15" s="1368"/>
      <c r="T15" s="1368"/>
      <c r="U15" s="1368"/>
      <c r="V15" s="1368"/>
      <c r="W15" s="1368"/>
      <c r="X15" s="1369"/>
    </row>
    <row r="16" spans="2:24" ht="20.100000000000001" customHeight="1">
      <c r="B16" s="314"/>
      <c r="C16" s="315" t="s">
        <v>658</v>
      </c>
      <c r="D16" s="1367"/>
      <c r="E16" s="1367"/>
      <c r="F16" s="1367"/>
      <c r="G16" s="1367"/>
      <c r="H16" s="1284" t="s">
        <v>655</v>
      </c>
      <c r="I16" s="1286"/>
      <c r="J16" s="1368"/>
      <c r="K16" s="1368"/>
      <c r="L16" s="1368"/>
      <c r="M16" s="1368"/>
      <c r="N16" s="1368"/>
      <c r="O16" s="1368"/>
      <c r="P16" s="1368"/>
      <c r="Q16" s="1368"/>
      <c r="R16" s="1368"/>
      <c r="S16" s="1368"/>
      <c r="T16" s="1368"/>
      <c r="U16" s="1368"/>
      <c r="V16" s="1368"/>
      <c r="W16" s="1368"/>
      <c r="X16" s="1369"/>
    </row>
    <row r="17" spans="2:27" ht="15.9" customHeight="1">
      <c r="B17" s="1308" t="s">
        <v>659</v>
      </c>
      <c r="C17" s="1309"/>
      <c r="D17" s="1309"/>
      <c r="E17" s="1309"/>
      <c r="F17" s="1309"/>
      <c r="G17" s="1309"/>
      <c r="H17" s="1309"/>
      <c r="I17" s="1309"/>
      <c r="J17" s="1309"/>
      <c r="K17" s="1309"/>
      <c r="L17" s="1309"/>
      <c r="M17" s="1309"/>
      <c r="N17" s="1309"/>
      <c r="O17" s="1309"/>
      <c r="P17" s="391"/>
      <c r="Q17" s="1310" t="s">
        <v>652</v>
      </c>
      <c r="R17" s="1310"/>
      <c r="S17" s="1310"/>
      <c r="T17" s="391"/>
      <c r="U17" s="1310" t="s">
        <v>431</v>
      </c>
      <c r="V17" s="1310"/>
      <c r="W17" s="1310"/>
      <c r="X17" s="1311"/>
    </row>
    <row r="18" spans="2:27" ht="24" customHeight="1">
      <c r="B18" s="1333" t="s">
        <v>660</v>
      </c>
      <c r="C18" s="1336"/>
      <c r="D18" s="1336"/>
      <c r="E18" s="1336"/>
      <c r="F18" s="1336"/>
      <c r="G18" s="1336"/>
      <c r="H18" s="1336"/>
      <c r="I18" s="1336"/>
      <c r="J18" s="1336"/>
      <c r="K18" s="1336"/>
      <c r="L18" s="1336"/>
      <c r="M18" s="1336"/>
      <c r="N18" s="1336"/>
      <c r="O18" s="1336"/>
      <c r="P18" s="1336"/>
      <c r="Q18" s="1336"/>
      <c r="R18" s="1336"/>
      <c r="S18" s="1336"/>
      <c r="T18" s="1336"/>
      <c r="U18" s="1336"/>
      <c r="V18" s="1336"/>
      <c r="W18" s="1336"/>
      <c r="X18" s="1337"/>
    </row>
    <row r="19" spans="2:27" ht="20.100000000000001" customHeight="1">
      <c r="B19" s="314"/>
      <c r="C19" s="1238" t="s">
        <v>661</v>
      </c>
      <c r="D19" s="1239"/>
      <c r="E19" s="1239"/>
      <c r="F19" s="1239"/>
      <c r="G19" s="1239"/>
      <c r="H19" s="1239"/>
      <c r="I19" s="1239"/>
      <c r="J19" s="1239"/>
      <c r="K19" s="1239"/>
      <c r="L19" s="1239"/>
      <c r="M19" s="1239"/>
      <c r="N19" s="1240"/>
      <c r="O19" s="314"/>
      <c r="P19" s="1238" t="s">
        <v>662</v>
      </c>
      <c r="Q19" s="1239"/>
      <c r="R19" s="1239"/>
      <c r="S19" s="1239"/>
      <c r="T19" s="1239"/>
      <c r="U19" s="1239"/>
      <c r="V19" s="1239"/>
      <c r="W19" s="1239"/>
      <c r="X19" s="1240"/>
      <c r="AA19" s="318"/>
    </row>
    <row r="20" spans="2:27" ht="20.100000000000001" customHeight="1">
      <c r="B20" s="314"/>
      <c r="C20" s="1238" t="s">
        <v>663</v>
      </c>
      <c r="D20" s="1239"/>
      <c r="E20" s="1239"/>
      <c r="F20" s="1239"/>
      <c r="G20" s="1239"/>
      <c r="H20" s="1239"/>
      <c r="I20" s="1239"/>
      <c r="J20" s="1239"/>
      <c r="K20" s="1239"/>
      <c r="L20" s="1239"/>
      <c r="M20" s="1239"/>
      <c r="N20" s="1240"/>
      <c r="O20" s="314"/>
      <c r="P20" s="1238" t="s">
        <v>664</v>
      </c>
      <c r="Q20" s="1239"/>
      <c r="R20" s="1239"/>
      <c r="S20" s="1239"/>
      <c r="T20" s="1239"/>
      <c r="U20" s="1239"/>
      <c r="V20" s="1239"/>
      <c r="W20" s="1239"/>
      <c r="X20" s="1240"/>
      <c r="AA20" s="318"/>
    </row>
    <row r="21" spans="2:27" ht="20.100000000000001" customHeight="1">
      <c r="B21" s="314"/>
      <c r="C21" s="1238" t="s">
        <v>665</v>
      </c>
      <c r="D21" s="1239"/>
      <c r="E21" s="1239"/>
      <c r="F21" s="1239"/>
      <c r="G21" s="1239"/>
      <c r="H21" s="1239"/>
      <c r="I21" s="1239"/>
      <c r="J21" s="1239"/>
      <c r="K21" s="1239"/>
      <c r="L21" s="1239"/>
      <c r="M21" s="1239"/>
      <c r="N21" s="1240"/>
      <c r="O21" s="314"/>
      <c r="P21" s="1238" t="s">
        <v>666</v>
      </c>
      <c r="Q21" s="1239"/>
      <c r="R21" s="1239"/>
      <c r="S21" s="1239"/>
      <c r="T21" s="1239"/>
      <c r="U21" s="1239"/>
      <c r="V21" s="1239"/>
      <c r="W21" s="1239"/>
      <c r="X21" s="1240"/>
      <c r="AA21" s="318"/>
    </row>
    <row r="22" spans="2:27" ht="20.100000000000001" customHeight="1">
      <c r="B22" s="314"/>
      <c r="C22" s="1364" t="s">
        <v>667</v>
      </c>
      <c r="D22" s="1365"/>
      <c r="E22" s="1365"/>
      <c r="F22" s="1365"/>
      <c r="G22" s="1365"/>
      <c r="H22" s="1365"/>
      <c r="I22" s="1365"/>
      <c r="J22" s="1365"/>
      <c r="K22" s="1365"/>
      <c r="L22" s="1365"/>
      <c r="M22" s="1365"/>
      <c r="N22" s="1365"/>
      <c r="O22" s="1365"/>
      <c r="P22" s="1365"/>
      <c r="Q22" s="1365"/>
      <c r="R22" s="1365"/>
      <c r="S22" s="1365"/>
      <c r="T22" s="1365"/>
      <c r="U22" s="1365"/>
      <c r="V22" s="1365"/>
      <c r="W22" s="1365"/>
      <c r="X22" s="1366"/>
      <c r="AA22" s="318"/>
    </row>
    <row r="23" spans="2:27" ht="43.5" customHeight="1">
      <c r="B23" s="66"/>
      <c r="C23" s="1271"/>
      <c r="D23" s="1271"/>
      <c r="E23" s="1271"/>
      <c r="F23" s="1271"/>
      <c r="G23" s="1271"/>
      <c r="H23" s="1271"/>
      <c r="I23" s="1271"/>
      <c r="J23" s="1271"/>
      <c r="K23" s="1271"/>
      <c r="L23" s="1271"/>
      <c r="M23" s="1271"/>
      <c r="N23" s="1271"/>
      <c r="O23" s="1271"/>
      <c r="P23" s="1271"/>
      <c r="Q23" s="1271"/>
      <c r="R23" s="1271"/>
      <c r="S23" s="1271"/>
      <c r="T23" s="1271"/>
      <c r="U23" s="1271"/>
      <c r="V23" s="1271"/>
      <c r="W23" s="1271"/>
      <c r="X23" s="1272"/>
      <c r="AA23" s="318"/>
    </row>
    <row r="24" spans="2:27" ht="20.100000000000001" customHeight="1">
      <c r="B24" s="314"/>
      <c r="C24" s="1355" t="s">
        <v>668</v>
      </c>
      <c r="D24" s="1355"/>
      <c r="E24" s="1355"/>
      <c r="F24" s="1356"/>
      <c r="G24" s="1284" t="s">
        <v>669</v>
      </c>
      <c r="H24" s="1286"/>
      <c r="I24" s="1353"/>
      <c r="J24" s="1353"/>
      <c r="K24" s="1353"/>
      <c r="L24" s="1353"/>
      <c r="M24" s="1353"/>
      <c r="N24" s="1353"/>
      <c r="O24" s="1354"/>
      <c r="P24" s="1284" t="s">
        <v>670</v>
      </c>
      <c r="Q24" s="1286"/>
      <c r="R24" s="1353"/>
      <c r="S24" s="1353"/>
      <c r="T24" s="1353"/>
      <c r="U24" s="1353"/>
      <c r="V24" s="1353"/>
      <c r="W24" s="1353"/>
      <c r="X24" s="1354"/>
      <c r="AA24" s="318"/>
    </row>
    <row r="25" spans="2:27" ht="20.100000000000001" customHeight="1">
      <c r="B25" s="1357"/>
      <c r="C25" s="1358" t="s">
        <v>671</v>
      </c>
      <c r="D25" s="1358"/>
      <c r="E25" s="1358"/>
      <c r="F25" s="1359"/>
      <c r="G25" s="1284" t="s">
        <v>669</v>
      </c>
      <c r="H25" s="1286"/>
      <c r="I25" s="1362"/>
      <c r="J25" s="1362"/>
      <c r="K25" s="1362"/>
      <c r="L25" s="1362"/>
      <c r="M25" s="1362"/>
      <c r="N25" s="1362"/>
      <c r="O25" s="1363"/>
      <c r="P25" s="317" t="s">
        <v>672</v>
      </c>
      <c r="Q25" s="1278"/>
      <c r="R25" s="1280"/>
      <c r="S25" s="1284" t="s">
        <v>673</v>
      </c>
      <c r="T25" s="1286"/>
      <c r="U25" s="1286"/>
      <c r="V25" s="1285"/>
      <c r="W25" s="1278"/>
      <c r="X25" s="1280"/>
      <c r="AA25" s="318"/>
    </row>
    <row r="26" spans="2:27" ht="20.100000000000001" customHeight="1">
      <c r="B26" s="1357"/>
      <c r="C26" s="1360"/>
      <c r="D26" s="1360"/>
      <c r="E26" s="1360"/>
      <c r="F26" s="1361"/>
      <c r="G26" s="1284" t="s">
        <v>670</v>
      </c>
      <c r="H26" s="1286"/>
      <c r="I26" s="1353"/>
      <c r="J26" s="1353"/>
      <c r="K26" s="1353"/>
      <c r="L26" s="1353"/>
      <c r="M26" s="1353"/>
      <c r="N26" s="1353"/>
      <c r="O26" s="1354"/>
      <c r="P26" s="317" t="s">
        <v>672</v>
      </c>
      <c r="Q26" s="1278"/>
      <c r="R26" s="1280"/>
      <c r="S26" s="1284" t="s">
        <v>673</v>
      </c>
      <c r="T26" s="1286"/>
      <c r="U26" s="1286"/>
      <c r="V26" s="1285"/>
      <c r="W26" s="1278"/>
      <c r="X26" s="1280"/>
      <c r="AA26" s="318"/>
    </row>
    <row r="27" spans="2:27" ht="20.100000000000001" customHeight="1">
      <c r="B27" s="314"/>
      <c r="C27" s="1276" t="s">
        <v>674</v>
      </c>
      <c r="D27" s="1276"/>
      <c r="E27" s="1276"/>
      <c r="F27" s="1276"/>
      <c r="G27" s="1276"/>
      <c r="H27" s="1276"/>
      <c r="I27" s="1276"/>
      <c r="J27" s="1276"/>
      <c r="K27" s="1276"/>
      <c r="L27" s="1276"/>
      <c r="M27" s="1276"/>
      <c r="N27" s="1276"/>
      <c r="O27" s="1276"/>
      <c r="P27" s="1276"/>
      <c r="Q27" s="1276"/>
      <c r="R27" s="1276"/>
      <c r="S27" s="1276"/>
      <c r="T27" s="1276"/>
      <c r="U27" s="1276"/>
      <c r="V27" s="1276"/>
      <c r="W27" s="1276"/>
      <c r="X27" s="1277"/>
    </row>
    <row r="28" spans="2:27" ht="20.100000000000001" customHeight="1">
      <c r="B28" s="314"/>
      <c r="C28" s="1276" t="s">
        <v>675</v>
      </c>
      <c r="D28" s="1276"/>
      <c r="E28" s="1276"/>
      <c r="F28" s="1276"/>
      <c r="G28" s="1276"/>
      <c r="H28" s="1276"/>
      <c r="I28" s="1276"/>
      <c r="J28" s="1276"/>
      <c r="K28" s="1276"/>
      <c r="L28" s="1276"/>
      <c r="M28" s="1276"/>
      <c r="N28" s="1276"/>
      <c r="O28" s="1276"/>
      <c r="P28" s="1276"/>
      <c r="Q28" s="1276"/>
      <c r="R28" s="1276"/>
      <c r="S28" s="1276"/>
      <c r="T28" s="1276"/>
      <c r="U28" s="1276"/>
      <c r="V28" s="1276"/>
      <c r="W28" s="1276"/>
      <c r="X28" s="1277"/>
    </row>
    <row r="29" spans="2:27" ht="43.5" customHeight="1">
      <c r="B29" s="319" t="s">
        <v>676</v>
      </c>
      <c r="C29" s="1345"/>
      <c r="D29" s="1345"/>
      <c r="E29" s="1345"/>
      <c r="F29" s="1345"/>
      <c r="G29" s="1345"/>
      <c r="H29" s="1345"/>
      <c r="I29" s="1345"/>
      <c r="J29" s="1345"/>
      <c r="K29" s="1345"/>
      <c r="L29" s="1345"/>
      <c r="M29" s="1345"/>
      <c r="N29" s="1345"/>
      <c r="O29" s="1345"/>
      <c r="P29" s="1345"/>
      <c r="Q29" s="1345"/>
      <c r="R29" s="1345"/>
      <c r="S29" s="1345"/>
      <c r="T29" s="1345"/>
      <c r="U29" s="1345"/>
      <c r="V29" s="1345"/>
      <c r="W29" s="1345"/>
      <c r="X29" s="1346"/>
    </row>
    <row r="30" spans="2:27" ht="20.100000000000001" customHeight="1">
      <c r="B30" s="1347" t="s">
        <v>677</v>
      </c>
      <c r="C30" s="1348"/>
      <c r="D30" s="1348"/>
      <c r="E30" s="1348"/>
      <c r="F30" s="1348"/>
      <c r="G30" s="1348"/>
      <c r="H30" s="1348"/>
      <c r="I30" s="1348"/>
      <c r="J30" s="1348"/>
      <c r="K30" s="1348"/>
      <c r="L30" s="1348"/>
      <c r="M30" s="1348"/>
      <c r="N30" s="1348"/>
      <c r="O30" s="1348"/>
      <c r="P30" s="1348"/>
      <c r="Q30" s="1348"/>
      <c r="R30" s="1348"/>
      <c r="S30" s="1348"/>
      <c r="T30" s="1348"/>
      <c r="U30" s="1348"/>
      <c r="V30" s="1348"/>
      <c r="W30" s="1348"/>
      <c r="X30" s="1349"/>
    </row>
    <row r="31" spans="2:27" ht="20.100000000000001" customHeight="1">
      <c r="B31" s="1350"/>
      <c r="C31" s="1351"/>
      <c r="D31" s="1351"/>
      <c r="E31" s="1351"/>
      <c r="F31" s="1351"/>
      <c r="G31" s="1351"/>
      <c r="H31" s="1351"/>
      <c r="I31" s="1351"/>
      <c r="J31" s="1351"/>
      <c r="K31" s="1351"/>
      <c r="L31" s="1351"/>
      <c r="M31" s="1351"/>
      <c r="N31" s="1351"/>
      <c r="O31" s="1351"/>
      <c r="P31" s="1351"/>
      <c r="Q31" s="1351"/>
      <c r="R31" s="1351"/>
      <c r="S31" s="1351"/>
      <c r="T31" s="1351"/>
      <c r="U31" s="1351"/>
      <c r="V31" s="1351"/>
      <c r="W31" s="1351"/>
      <c r="X31" s="1352"/>
    </row>
    <row r="32" spans="2:27" ht="5.25" customHeight="1">
      <c r="B32" s="1237"/>
      <c r="C32" s="1237"/>
      <c r="D32" s="1237"/>
      <c r="E32" s="1237"/>
      <c r="F32" s="1237"/>
      <c r="G32" s="1237"/>
      <c r="H32" s="1237"/>
      <c r="I32" s="1237"/>
      <c r="J32" s="1237"/>
      <c r="K32" s="1237"/>
      <c r="L32" s="1237"/>
      <c r="M32" s="1237"/>
      <c r="N32" s="1237"/>
      <c r="O32" s="1237"/>
      <c r="P32" s="1237"/>
      <c r="Q32" s="1237"/>
      <c r="R32" s="1237"/>
      <c r="S32" s="1237"/>
      <c r="T32" s="1237"/>
      <c r="U32" s="1237"/>
      <c r="V32" s="1237"/>
      <c r="W32" s="1237"/>
      <c r="X32" s="1237"/>
    </row>
    <row r="33" spans="2:24" ht="21.9" customHeight="1">
      <c r="B33" s="1322" t="s">
        <v>922</v>
      </c>
      <c r="C33" s="1323"/>
      <c r="D33" s="1323"/>
      <c r="E33" s="1323"/>
      <c r="F33" s="1323"/>
      <c r="G33" s="1323"/>
      <c r="H33" s="1323"/>
      <c r="I33" s="1323"/>
      <c r="J33" s="1323"/>
      <c r="K33" s="1323"/>
      <c r="L33" s="1323"/>
      <c r="M33" s="1323"/>
      <c r="N33" s="1323"/>
      <c r="O33" s="1323"/>
      <c r="P33" s="1323"/>
      <c r="Q33" s="1323"/>
      <c r="R33" s="1323"/>
      <c r="S33" s="1323"/>
      <c r="T33" s="1323"/>
      <c r="U33" s="1323"/>
      <c r="V33" s="1323"/>
      <c r="W33" s="1323"/>
      <c r="X33" s="1324"/>
    </row>
    <row r="34" spans="2:24" ht="15.9" customHeight="1">
      <c r="B34" s="1308" t="s">
        <v>678</v>
      </c>
      <c r="C34" s="1309"/>
      <c r="D34" s="1309"/>
      <c r="E34" s="1309"/>
      <c r="F34" s="1309"/>
      <c r="G34" s="1309"/>
      <c r="H34" s="1309"/>
      <c r="I34" s="1309"/>
      <c r="J34" s="1309"/>
      <c r="K34" s="1309"/>
      <c r="L34" s="1309"/>
      <c r="M34" s="1309"/>
      <c r="N34" s="1309"/>
      <c r="O34" s="1309"/>
      <c r="P34" s="391"/>
      <c r="Q34" s="1310" t="s">
        <v>652</v>
      </c>
      <c r="R34" s="1310"/>
      <c r="S34" s="1310"/>
      <c r="T34" s="391"/>
      <c r="U34" s="1310" t="s">
        <v>431</v>
      </c>
      <c r="V34" s="1310"/>
      <c r="W34" s="1310"/>
      <c r="X34" s="1311"/>
    </row>
    <row r="35" spans="2:24" ht="20.100000000000001" customHeight="1">
      <c r="B35" s="314"/>
      <c r="C35" s="1253" t="s">
        <v>679</v>
      </c>
      <c r="D35" s="1253"/>
      <c r="E35" s="1253"/>
      <c r="F35" s="1253"/>
      <c r="G35" s="1253"/>
      <c r="H35" s="1253"/>
      <c r="I35" s="1253"/>
      <c r="J35" s="1253"/>
      <c r="K35" s="1253"/>
      <c r="L35" s="1253"/>
      <c r="M35" s="1253"/>
      <c r="N35" s="1253"/>
      <c r="O35" s="1253"/>
      <c r="P35" s="1253"/>
      <c r="Q35" s="1253"/>
      <c r="R35" s="1253"/>
      <c r="S35" s="1253"/>
      <c r="T35" s="1253"/>
      <c r="U35" s="1253"/>
      <c r="V35" s="1253"/>
      <c r="W35" s="1253"/>
      <c r="X35" s="1288"/>
    </row>
    <row r="36" spans="2:24" ht="15.9" customHeight="1">
      <c r="B36" s="1308" t="s">
        <v>680</v>
      </c>
      <c r="C36" s="1309"/>
      <c r="D36" s="1309"/>
      <c r="E36" s="1309"/>
      <c r="F36" s="1309"/>
      <c r="G36" s="1309"/>
      <c r="H36" s="1309"/>
      <c r="I36" s="1309"/>
      <c r="J36" s="1309"/>
      <c r="K36" s="1309"/>
      <c r="L36" s="1309"/>
      <c r="M36" s="1309"/>
      <c r="N36" s="1309"/>
      <c r="O36" s="1309"/>
      <c r="P36" s="391"/>
      <c r="Q36" s="1310" t="s">
        <v>652</v>
      </c>
      <c r="R36" s="1310"/>
      <c r="S36" s="1310"/>
      <c r="T36" s="391"/>
      <c r="U36" s="1310" t="s">
        <v>431</v>
      </c>
      <c r="V36" s="1310"/>
      <c r="W36" s="1310"/>
      <c r="X36" s="1311"/>
    </row>
    <row r="37" spans="2:24" ht="15.9" customHeight="1">
      <c r="B37" s="320" t="s">
        <v>681</v>
      </c>
      <c r="C37" s="392"/>
      <c r="D37" s="392"/>
      <c r="E37" s="392"/>
      <c r="F37" s="392"/>
      <c r="G37" s="392"/>
      <c r="H37" s="392"/>
      <c r="I37" s="392"/>
      <c r="J37" s="392"/>
      <c r="K37" s="392"/>
      <c r="L37" s="392"/>
      <c r="M37" s="219"/>
      <c r="N37" s="314"/>
      <c r="O37" s="393" t="s">
        <v>682</v>
      </c>
      <c r="P37" s="314"/>
      <c r="Q37" s="393" t="s">
        <v>683</v>
      </c>
      <c r="R37" s="314"/>
      <c r="S37" s="394" t="s">
        <v>87</v>
      </c>
      <c r="T37" s="254"/>
      <c r="U37" s="1343"/>
      <c r="V37" s="1343"/>
      <c r="W37" s="1343"/>
      <c r="X37" s="1344"/>
    </row>
    <row r="38" spans="2:24" ht="17.100000000000001" customHeight="1">
      <c r="B38" s="1340" t="s">
        <v>684</v>
      </c>
      <c r="C38" s="1341"/>
      <c r="D38" s="1341"/>
      <c r="E38" s="1341"/>
      <c r="F38" s="1341"/>
      <c r="G38" s="1341"/>
      <c r="H38" s="1341"/>
      <c r="I38" s="1341"/>
      <c r="J38" s="1341"/>
      <c r="K38" s="1341"/>
      <c r="L38" s="1341"/>
      <c r="M38" s="1341"/>
      <c r="N38" s="1341"/>
      <c r="O38" s="1341"/>
      <c r="P38" s="1341"/>
      <c r="Q38" s="1341"/>
      <c r="R38" s="1341"/>
      <c r="S38" s="1341"/>
      <c r="T38" s="1341"/>
      <c r="U38" s="1341"/>
      <c r="V38" s="1341"/>
      <c r="W38" s="1341"/>
      <c r="X38" s="1342"/>
    </row>
    <row r="39" spans="2:24" ht="17.100000000000001" customHeight="1">
      <c r="B39" s="1340"/>
      <c r="C39" s="1341"/>
      <c r="D39" s="1341"/>
      <c r="E39" s="1341"/>
      <c r="F39" s="1341"/>
      <c r="G39" s="1341"/>
      <c r="H39" s="1341"/>
      <c r="I39" s="1341"/>
      <c r="J39" s="1341"/>
      <c r="K39" s="1341"/>
      <c r="L39" s="1341"/>
      <c r="M39" s="1341"/>
      <c r="N39" s="1341"/>
      <c r="O39" s="1341"/>
      <c r="P39" s="1341"/>
      <c r="Q39" s="1341"/>
      <c r="R39" s="1341"/>
      <c r="S39" s="1341"/>
      <c r="T39" s="1341"/>
      <c r="U39" s="1341"/>
      <c r="V39" s="1341"/>
      <c r="W39" s="1341"/>
      <c r="X39" s="1342"/>
    </row>
    <row r="40" spans="2:24" ht="17.100000000000001" customHeight="1">
      <c r="B40" s="1340"/>
      <c r="C40" s="1341"/>
      <c r="D40" s="1341"/>
      <c r="E40" s="1341"/>
      <c r="F40" s="1341"/>
      <c r="G40" s="1341"/>
      <c r="H40" s="1341"/>
      <c r="I40" s="1341"/>
      <c r="J40" s="1341"/>
      <c r="K40" s="1341"/>
      <c r="L40" s="1341"/>
      <c r="M40" s="1341"/>
      <c r="N40" s="1341"/>
      <c r="O40" s="1341"/>
      <c r="P40" s="1341"/>
      <c r="Q40" s="1341"/>
      <c r="R40" s="1341"/>
      <c r="S40" s="1341"/>
      <c r="T40" s="1341"/>
      <c r="U40" s="1341"/>
      <c r="V40" s="1341"/>
      <c r="W40" s="1341"/>
      <c r="X40" s="1342"/>
    </row>
    <row r="41" spans="2:24" ht="17.100000000000001" customHeight="1">
      <c r="B41" s="1340"/>
      <c r="C41" s="1341"/>
      <c r="D41" s="1341"/>
      <c r="E41" s="1341"/>
      <c r="F41" s="1341"/>
      <c r="G41" s="1341"/>
      <c r="H41" s="1341"/>
      <c r="I41" s="1341"/>
      <c r="J41" s="1341"/>
      <c r="K41" s="1341"/>
      <c r="L41" s="1341"/>
      <c r="M41" s="1341"/>
      <c r="N41" s="1341"/>
      <c r="O41" s="1341"/>
      <c r="P41" s="1341"/>
      <c r="Q41" s="1341"/>
      <c r="R41" s="1341"/>
      <c r="S41" s="1341"/>
      <c r="T41" s="1341"/>
      <c r="U41" s="1341"/>
      <c r="V41" s="1341"/>
      <c r="W41" s="1341"/>
      <c r="X41" s="1342"/>
    </row>
    <row r="42" spans="2:24" ht="25.5" customHeight="1">
      <c r="B42" s="1340"/>
      <c r="C42" s="1341"/>
      <c r="D42" s="1341"/>
      <c r="E42" s="1341"/>
      <c r="F42" s="1341"/>
      <c r="G42" s="1341"/>
      <c r="H42" s="1341"/>
      <c r="I42" s="1341"/>
      <c r="J42" s="1341"/>
      <c r="K42" s="1341"/>
      <c r="L42" s="1341"/>
      <c r="M42" s="1341"/>
      <c r="N42" s="1341"/>
      <c r="O42" s="1341"/>
      <c r="P42" s="1341"/>
      <c r="Q42" s="1341"/>
      <c r="R42" s="1341"/>
      <c r="S42" s="1341"/>
      <c r="T42" s="1341"/>
      <c r="U42" s="1341"/>
      <c r="V42" s="1341"/>
      <c r="W42" s="1341"/>
      <c r="X42" s="1342"/>
    </row>
    <row r="43" spans="2:24" s="51" customFormat="1" ht="24.9" customHeight="1">
      <c r="B43" s="1325" t="s">
        <v>685</v>
      </c>
      <c r="C43" s="1326"/>
      <c r="D43" s="1326"/>
      <c r="E43" s="1326"/>
      <c r="F43" s="1326"/>
      <c r="G43" s="1326"/>
      <c r="H43" s="1326"/>
      <c r="I43" s="1326"/>
      <c r="J43" s="1326"/>
      <c r="K43" s="1326"/>
      <c r="L43" s="1326"/>
      <c r="M43" s="1326"/>
      <c r="N43" s="1326"/>
      <c r="O43" s="1326"/>
      <c r="P43" s="1326"/>
      <c r="Q43" s="1326"/>
      <c r="R43" s="1326"/>
      <c r="S43" s="1326"/>
      <c r="T43" s="1326"/>
      <c r="U43" s="1326"/>
      <c r="V43" s="1326"/>
      <c r="W43" s="1326"/>
      <c r="X43" s="1327"/>
    </row>
    <row r="44" spans="2:24" ht="15.9" customHeight="1">
      <c r="B44" s="1257" t="s">
        <v>686</v>
      </c>
      <c r="C44" s="1258"/>
      <c r="D44" s="1258"/>
      <c r="E44" s="1258"/>
      <c r="F44" s="1258"/>
      <c r="G44" s="1258"/>
      <c r="H44" s="1258"/>
      <c r="I44" s="1258"/>
      <c r="J44" s="1258"/>
      <c r="K44" s="1258"/>
      <c r="L44" s="1258"/>
      <c r="M44" s="1258"/>
      <c r="N44" s="1258"/>
      <c r="O44" s="1258"/>
      <c r="P44" s="391"/>
      <c r="Q44" s="1259" t="s">
        <v>652</v>
      </c>
      <c r="R44" s="1259"/>
      <c r="S44" s="1259"/>
      <c r="T44" s="391"/>
      <c r="U44" s="1259" t="s">
        <v>431</v>
      </c>
      <c r="V44" s="1259"/>
      <c r="W44" s="1259"/>
      <c r="X44" s="1260"/>
    </row>
    <row r="45" spans="2:24" ht="20.100000000000001" customHeight="1">
      <c r="B45" s="314"/>
      <c r="C45" s="1338" t="s">
        <v>687</v>
      </c>
      <c r="D45" s="1338"/>
      <c r="E45" s="1338"/>
      <c r="F45" s="1338"/>
      <c r="G45" s="1338"/>
      <c r="H45" s="1338"/>
      <c r="I45" s="1338"/>
      <c r="J45" s="1338"/>
      <c r="K45" s="1338"/>
      <c r="L45" s="1338"/>
      <c r="M45" s="1338"/>
      <c r="N45" s="1338"/>
      <c r="O45" s="1338"/>
      <c r="P45" s="1338"/>
      <c r="Q45" s="1338"/>
      <c r="R45" s="1338"/>
      <c r="S45" s="1338"/>
      <c r="T45" s="1338"/>
      <c r="U45" s="1338"/>
      <c r="V45" s="1338"/>
      <c r="W45" s="1338"/>
      <c r="X45" s="1339"/>
    </row>
    <row r="46" spans="2:24" ht="20.100000000000001" customHeight="1">
      <c r="B46" s="1252" t="s">
        <v>688</v>
      </c>
      <c r="C46" s="1253"/>
      <c r="D46" s="1254"/>
      <c r="E46" s="1254"/>
      <c r="F46" s="1254"/>
      <c r="G46" s="1254"/>
      <c r="H46" s="1254"/>
      <c r="I46" s="1254"/>
      <c r="J46" s="1254"/>
      <c r="K46" s="1254"/>
      <c r="L46" s="1254"/>
      <c r="M46" s="1254"/>
      <c r="N46" s="1254"/>
      <c r="O46" s="1254"/>
      <c r="P46" s="1254"/>
      <c r="Q46" s="1254"/>
      <c r="R46" s="1254"/>
      <c r="S46" s="1254"/>
      <c r="T46" s="1254"/>
      <c r="U46" s="1254"/>
      <c r="V46" s="1254"/>
      <c r="W46" s="1254"/>
      <c r="X46" s="1255"/>
    </row>
    <row r="47" spans="2:24" ht="20.100000000000001" customHeight="1">
      <c r="B47" s="314"/>
      <c r="C47" s="1250" t="s">
        <v>689</v>
      </c>
      <c r="D47" s="1250"/>
      <c r="E47" s="1250"/>
      <c r="F47" s="1250"/>
      <c r="G47" s="1250"/>
      <c r="H47" s="1250"/>
      <c r="I47" s="1250"/>
      <c r="J47" s="1250"/>
      <c r="K47" s="1250"/>
      <c r="L47" s="1250"/>
      <c r="M47" s="1250"/>
      <c r="N47" s="1250"/>
      <c r="O47" s="1250"/>
      <c r="P47" s="1250"/>
      <c r="Q47" s="1250"/>
      <c r="R47" s="1250"/>
      <c r="S47" s="1250"/>
      <c r="T47" s="1250"/>
      <c r="U47" s="1250"/>
      <c r="V47" s="1250"/>
      <c r="W47" s="1250"/>
      <c r="X47" s="1251"/>
    </row>
    <row r="48" spans="2:24" ht="20.100000000000001" customHeight="1">
      <c r="B48" s="1252" t="s">
        <v>688</v>
      </c>
      <c r="C48" s="1253"/>
      <c r="D48" s="1254"/>
      <c r="E48" s="1254"/>
      <c r="F48" s="1254"/>
      <c r="G48" s="1254"/>
      <c r="H48" s="1254"/>
      <c r="I48" s="1254"/>
      <c r="J48" s="1254"/>
      <c r="K48" s="1254"/>
      <c r="L48" s="1254"/>
      <c r="M48" s="1254"/>
      <c r="N48" s="1254"/>
      <c r="O48" s="1254"/>
      <c r="P48" s="1254"/>
      <c r="Q48" s="1254"/>
      <c r="R48" s="1254"/>
      <c r="S48" s="1254"/>
      <c r="T48" s="1254"/>
      <c r="U48" s="1254"/>
      <c r="V48" s="1254"/>
      <c r="W48" s="1254"/>
      <c r="X48" s="1255"/>
    </row>
    <row r="49" spans="2:24" ht="20.100000000000001" customHeight="1">
      <c r="B49" s="314"/>
      <c r="C49" s="1250" t="s">
        <v>690</v>
      </c>
      <c r="D49" s="1250"/>
      <c r="E49" s="1250"/>
      <c r="F49" s="1250"/>
      <c r="G49" s="1250"/>
      <c r="H49" s="1250"/>
      <c r="I49" s="1250"/>
      <c r="J49" s="1250"/>
      <c r="K49" s="1250"/>
      <c r="L49" s="1250"/>
      <c r="M49" s="1250"/>
      <c r="N49" s="1250"/>
      <c r="O49" s="1250"/>
      <c r="P49" s="1250"/>
      <c r="Q49" s="1250"/>
      <c r="R49" s="1250"/>
      <c r="S49" s="1250"/>
      <c r="T49" s="1250"/>
      <c r="U49" s="1250"/>
      <c r="V49" s="1250"/>
      <c r="W49" s="1250"/>
      <c r="X49" s="1251"/>
    </row>
    <row r="50" spans="2:24" ht="20.100000000000001" customHeight="1">
      <c r="B50" s="1256" t="s">
        <v>688</v>
      </c>
      <c r="C50" s="1253"/>
      <c r="D50" s="1254"/>
      <c r="E50" s="1254"/>
      <c r="F50" s="1254"/>
      <c r="G50" s="1254"/>
      <c r="H50" s="1254"/>
      <c r="I50" s="1254"/>
      <c r="J50" s="1254"/>
      <c r="K50" s="1254"/>
      <c r="L50" s="1254"/>
      <c r="M50" s="1254"/>
      <c r="N50" s="1254"/>
      <c r="O50" s="1254"/>
      <c r="P50" s="1254"/>
      <c r="Q50" s="1254"/>
      <c r="R50" s="1254"/>
      <c r="S50" s="1254"/>
      <c r="T50" s="1254"/>
      <c r="U50" s="1254"/>
      <c r="V50" s="1254"/>
      <c r="W50" s="1254"/>
      <c r="X50" s="1255"/>
    </row>
    <row r="51" spans="2:24" ht="24.9" customHeight="1">
      <c r="B51" s="1328" t="s">
        <v>691</v>
      </c>
      <c r="C51" s="1329"/>
      <c r="D51" s="1329"/>
      <c r="E51" s="1329"/>
      <c r="F51" s="1329"/>
      <c r="G51" s="1329"/>
      <c r="H51" s="1329"/>
      <c r="I51" s="1329"/>
      <c r="J51" s="1329"/>
      <c r="K51" s="1329"/>
      <c r="L51" s="1329"/>
      <c r="M51" s="1329"/>
      <c r="N51" s="1329"/>
      <c r="O51" s="1329"/>
      <c r="P51" s="1329"/>
      <c r="Q51" s="1329"/>
      <c r="R51" s="1329"/>
      <c r="S51" s="1329"/>
      <c r="T51" s="1329"/>
      <c r="U51" s="1329"/>
      <c r="V51" s="1329"/>
      <c r="W51" s="1329"/>
      <c r="X51" s="1330"/>
    </row>
    <row r="52" spans="2:24" ht="15.9" customHeight="1">
      <c r="B52" s="1308" t="s">
        <v>692</v>
      </c>
      <c r="C52" s="1309"/>
      <c r="D52" s="1309"/>
      <c r="E52" s="1309"/>
      <c r="F52" s="1309"/>
      <c r="G52" s="1309"/>
      <c r="H52" s="1309"/>
      <c r="I52" s="1309"/>
      <c r="J52" s="1309"/>
      <c r="K52" s="1309"/>
      <c r="L52" s="1309"/>
      <c r="M52" s="1309"/>
      <c r="N52" s="1309"/>
      <c r="O52" s="1309"/>
      <c r="P52" s="391"/>
      <c r="Q52" s="1310" t="s">
        <v>652</v>
      </c>
      <c r="R52" s="1310"/>
      <c r="S52" s="1310"/>
      <c r="T52" s="391"/>
      <c r="U52" s="1310" t="s">
        <v>431</v>
      </c>
      <c r="V52" s="1310"/>
      <c r="W52" s="1310"/>
      <c r="X52" s="1311"/>
    </row>
    <row r="53" spans="2:24" ht="24.9" customHeight="1">
      <c r="B53" s="314"/>
      <c r="C53" s="1331" t="s">
        <v>693</v>
      </c>
      <c r="D53" s="1331"/>
      <c r="E53" s="1331"/>
      <c r="F53" s="1331"/>
      <c r="G53" s="1331"/>
      <c r="H53" s="1331"/>
      <c r="I53" s="1331"/>
      <c r="J53" s="1331"/>
      <c r="K53" s="1331"/>
      <c r="L53" s="1331"/>
      <c r="M53" s="1331"/>
      <c r="N53" s="1331"/>
      <c r="O53" s="1331"/>
      <c r="P53" s="1331"/>
      <c r="Q53" s="1331"/>
      <c r="R53" s="1331"/>
      <c r="S53" s="1331"/>
      <c r="T53" s="1331"/>
      <c r="U53" s="1331"/>
      <c r="V53" s="1331"/>
      <c r="W53" s="1331"/>
      <c r="X53" s="1332"/>
    </row>
    <row r="54" spans="2:24" ht="18.899999999999999" customHeight="1">
      <c r="B54" s="1295" t="s">
        <v>694</v>
      </c>
      <c r="C54" s="1296"/>
      <c r="D54" s="1296"/>
      <c r="E54" s="1296"/>
      <c r="F54" s="1296"/>
      <c r="G54" s="1296"/>
      <c r="H54" s="1296"/>
      <c r="I54" s="1296"/>
      <c r="J54" s="1296"/>
      <c r="K54" s="1296"/>
      <c r="L54" s="1296"/>
      <c r="M54" s="1296"/>
      <c r="N54" s="1296"/>
      <c r="O54" s="1296"/>
      <c r="P54" s="1296"/>
      <c r="Q54" s="1296"/>
      <c r="R54" s="1296"/>
      <c r="S54" s="1296"/>
      <c r="T54" s="1296"/>
      <c r="U54" s="1296"/>
      <c r="V54" s="1296"/>
      <c r="W54" s="1296"/>
      <c r="X54" s="1297"/>
    </row>
    <row r="55" spans="2:24" ht="18.899999999999999" customHeight="1">
      <c r="B55" s="1333"/>
      <c r="C55" s="1334"/>
      <c r="D55" s="1334"/>
      <c r="E55" s="1334"/>
      <c r="F55" s="1334"/>
      <c r="G55" s="1334"/>
      <c r="H55" s="1334"/>
      <c r="I55" s="1334"/>
      <c r="J55" s="1334"/>
      <c r="K55" s="1334"/>
      <c r="L55" s="1334"/>
      <c r="M55" s="1334"/>
      <c r="N55" s="1334"/>
      <c r="O55" s="1334"/>
      <c r="P55" s="1334"/>
      <c r="Q55" s="1334"/>
      <c r="R55" s="1334"/>
      <c r="S55" s="1334"/>
      <c r="T55" s="1334"/>
      <c r="U55" s="1334"/>
      <c r="V55" s="1334"/>
      <c r="W55" s="1334"/>
      <c r="X55" s="1335"/>
    </row>
    <row r="56" spans="2:24" ht="18.899999999999999" customHeight="1">
      <c r="B56" s="1333"/>
      <c r="C56" s="1334"/>
      <c r="D56" s="1334"/>
      <c r="E56" s="1334"/>
      <c r="F56" s="1334"/>
      <c r="G56" s="1334"/>
      <c r="H56" s="1334"/>
      <c r="I56" s="1334"/>
      <c r="J56" s="1334"/>
      <c r="K56" s="1334"/>
      <c r="L56" s="1334"/>
      <c r="M56" s="1334"/>
      <c r="N56" s="1334"/>
      <c r="O56" s="1334"/>
      <c r="P56" s="1334"/>
      <c r="Q56" s="1334"/>
      <c r="R56" s="1334"/>
      <c r="S56" s="1334"/>
      <c r="T56" s="1334"/>
      <c r="U56" s="1334"/>
      <c r="V56" s="1334"/>
      <c r="W56" s="1334"/>
      <c r="X56" s="1335"/>
    </row>
    <row r="57" spans="2:24" ht="18.899999999999999" customHeight="1">
      <c r="B57" s="1333"/>
      <c r="C57" s="1334"/>
      <c r="D57" s="1334"/>
      <c r="E57" s="1334"/>
      <c r="F57" s="1334"/>
      <c r="G57" s="1334"/>
      <c r="H57" s="1334"/>
      <c r="I57" s="1334"/>
      <c r="J57" s="1334"/>
      <c r="K57" s="1334"/>
      <c r="L57" s="1334"/>
      <c r="M57" s="1334"/>
      <c r="N57" s="1334"/>
      <c r="O57" s="1334"/>
      <c r="P57" s="1334"/>
      <c r="Q57" s="1334"/>
      <c r="R57" s="1334"/>
      <c r="S57" s="1334"/>
      <c r="T57" s="1334"/>
      <c r="U57" s="1334"/>
      <c r="V57" s="1334"/>
      <c r="W57" s="1334"/>
      <c r="X57" s="1335"/>
    </row>
    <row r="58" spans="2:24" ht="18.899999999999999" customHeight="1">
      <c r="B58" s="1333"/>
      <c r="C58" s="1336"/>
      <c r="D58" s="1336"/>
      <c r="E58" s="1336"/>
      <c r="F58" s="1336"/>
      <c r="G58" s="1336"/>
      <c r="H58" s="1336"/>
      <c r="I58" s="1336"/>
      <c r="J58" s="1336"/>
      <c r="K58" s="1336"/>
      <c r="L58" s="1336"/>
      <c r="M58" s="1336"/>
      <c r="N58" s="1336"/>
      <c r="O58" s="1336"/>
      <c r="P58" s="1334"/>
      <c r="Q58" s="1336"/>
      <c r="R58" s="1336"/>
      <c r="S58" s="1336"/>
      <c r="T58" s="1336"/>
      <c r="U58" s="1336"/>
      <c r="V58" s="1336"/>
      <c r="W58" s="1336"/>
      <c r="X58" s="1337"/>
    </row>
    <row r="59" spans="2:24" ht="20.100000000000001" customHeight="1">
      <c r="B59" s="314"/>
      <c r="C59" s="1276" t="s">
        <v>695</v>
      </c>
      <c r="D59" s="1276"/>
      <c r="E59" s="1276"/>
      <c r="F59" s="1276"/>
      <c r="G59" s="1276"/>
      <c r="H59" s="1276"/>
      <c r="I59" s="1276"/>
      <c r="J59" s="1276"/>
      <c r="K59" s="1276"/>
      <c r="L59" s="1276"/>
      <c r="M59" s="1276"/>
      <c r="N59" s="1276"/>
      <c r="O59" s="1276"/>
      <c r="P59" s="314"/>
      <c r="Q59" s="1276" t="s">
        <v>696</v>
      </c>
      <c r="R59" s="1276"/>
      <c r="S59" s="1276"/>
      <c r="T59" s="1276"/>
      <c r="U59" s="1276"/>
      <c r="V59" s="1276"/>
      <c r="W59" s="1276"/>
      <c r="X59" s="1277"/>
    </row>
    <row r="60" spans="2:24" ht="24.9" customHeight="1">
      <c r="B60" s="1325" t="s">
        <v>685</v>
      </c>
      <c r="C60" s="1326"/>
      <c r="D60" s="1326"/>
      <c r="E60" s="1326"/>
      <c r="F60" s="1326"/>
      <c r="G60" s="1326"/>
      <c r="H60" s="1326"/>
      <c r="I60" s="1326"/>
      <c r="J60" s="1326"/>
      <c r="K60" s="1326"/>
      <c r="L60" s="1326"/>
      <c r="M60" s="1326"/>
      <c r="N60" s="1326"/>
      <c r="O60" s="1326"/>
      <c r="P60" s="1326"/>
      <c r="Q60" s="1326"/>
      <c r="R60" s="1326"/>
      <c r="S60" s="1326"/>
      <c r="T60" s="1326"/>
      <c r="U60" s="1326"/>
      <c r="V60" s="1326"/>
      <c r="W60" s="1326"/>
      <c r="X60" s="1327"/>
    </row>
    <row r="61" spans="2:24" ht="15.9" customHeight="1">
      <c r="B61" s="1257" t="s">
        <v>697</v>
      </c>
      <c r="C61" s="1258"/>
      <c r="D61" s="1258"/>
      <c r="E61" s="1258"/>
      <c r="F61" s="1258"/>
      <c r="G61" s="1258"/>
      <c r="H61" s="1258"/>
      <c r="I61" s="1258"/>
      <c r="J61" s="1258"/>
      <c r="K61" s="1258"/>
      <c r="L61" s="1258"/>
      <c r="M61" s="1258"/>
      <c r="N61" s="1258"/>
      <c r="O61" s="1258"/>
      <c r="P61" s="313"/>
      <c r="Q61" s="1259" t="s">
        <v>652</v>
      </c>
      <c r="R61" s="1259"/>
      <c r="S61" s="1259"/>
      <c r="T61" s="313"/>
      <c r="U61" s="1259" t="s">
        <v>431</v>
      </c>
      <c r="V61" s="1259"/>
      <c r="W61" s="1259"/>
      <c r="X61" s="1260"/>
    </row>
    <row r="62" spans="2:24" ht="20.100000000000001" customHeight="1">
      <c r="B62" s="1241" t="s">
        <v>698</v>
      </c>
      <c r="C62" s="1242"/>
      <c r="D62" s="1242"/>
      <c r="E62" s="1242"/>
      <c r="F62" s="1242"/>
      <c r="G62" s="1242"/>
      <c r="H62" s="1242"/>
      <c r="I62" s="1242"/>
      <c r="J62" s="1242"/>
      <c r="K62" s="1242"/>
      <c r="L62" s="1242"/>
      <c r="M62" s="1242"/>
      <c r="N62" s="1242"/>
      <c r="O62" s="1242"/>
      <c r="P62" s="1242"/>
      <c r="Q62" s="1242"/>
      <c r="R62" s="1242"/>
      <c r="S62" s="1242"/>
      <c r="T62" s="1242"/>
      <c r="U62" s="1242"/>
      <c r="V62" s="1242"/>
      <c r="W62" s="1242"/>
      <c r="X62" s="1243"/>
    </row>
    <row r="63" spans="2:24" ht="20.100000000000001" customHeight="1">
      <c r="B63" s="1241"/>
      <c r="C63" s="1242"/>
      <c r="D63" s="1242"/>
      <c r="E63" s="1242"/>
      <c r="F63" s="1242"/>
      <c r="G63" s="1242"/>
      <c r="H63" s="1242"/>
      <c r="I63" s="1242"/>
      <c r="J63" s="1242"/>
      <c r="K63" s="1242"/>
      <c r="L63" s="1242"/>
      <c r="M63" s="1242"/>
      <c r="N63" s="1242"/>
      <c r="O63" s="1242"/>
      <c r="P63" s="1242"/>
      <c r="Q63" s="1242"/>
      <c r="R63" s="1242"/>
      <c r="S63" s="1242"/>
      <c r="T63" s="1242"/>
      <c r="U63" s="1242"/>
      <c r="V63" s="1242"/>
      <c r="W63" s="1242"/>
      <c r="X63" s="1243"/>
    </row>
    <row r="64" spans="2:24" ht="24" customHeight="1">
      <c r="B64" s="314"/>
      <c r="C64" s="1244" t="s">
        <v>699</v>
      </c>
      <c r="D64" s="1245"/>
      <c r="E64" s="1245"/>
      <c r="F64" s="1245"/>
      <c r="G64" s="1245"/>
      <c r="H64" s="1245"/>
      <c r="I64" s="1245"/>
      <c r="J64" s="1245"/>
      <c r="K64" s="1245"/>
      <c r="L64" s="1245"/>
      <c r="M64" s="1245"/>
      <c r="N64" s="1245"/>
      <c r="O64" s="1245"/>
      <c r="P64" s="1245"/>
      <c r="Q64" s="1245"/>
      <c r="R64" s="1245"/>
      <c r="S64" s="1245"/>
      <c r="T64" s="1245"/>
      <c r="U64" s="1245"/>
      <c r="V64" s="1245"/>
      <c r="W64" s="1245"/>
      <c r="X64" s="1246"/>
    </row>
    <row r="65" spans="2:24" ht="24" customHeight="1">
      <c r="B65" s="321"/>
      <c r="C65" s="1247" t="s">
        <v>700</v>
      </c>
      <c r="D65" s="1247"/>
      <c r="E65" s="1247"/>
      <c r="F65" s="1247"/>
      <c r="G65" s="1247"/>
      <c r="H65" s="1247"/>
      <c r="I65" s="1247"/>
      <c r="J65" s="1247"/>
      <c r="K65" s="1247"/>
      <c r="L65" s="1247"/>
      <c r="M65" s="1247"/>
      <c r="N65" s="1247"/>
      <c r="O65" s="1247"/>
      <c r="P65" s="1247"/>
      <c r="Q65" s="1247"/>
      <c r="R65" s="1247"/>
      <c r="S65" s="1247"/>
      <c r="T65" s="1247"/>
      <c r="U65" s="1247"/>
      <c r="V65" s="1247"/>
      <c r="W65" s="1247"/>
      <c r="X65" s="1247"/>
    </row>
    <row r="66" spans="2:24" ht="45" customHeight="1">
      <c r="B66" s="314"/>
      <c r="C66" s="1245" t="s">
        <v>701</v>
      </c>
      <c r="D66" s="1245"/>
      <c r="E66" s="1245"/>
      <c r="F66" s="1245"/>
      <c r="G66" s="1245"/>
      <c r="H66" s="1245"/>
      <c r="I66" s="1245"/>
      <c r="J66" s="1245"/>
      <c r="K66" s="1245"/>
      <c r="L66" s="1245"/>
      <c r="M66" s="1245"/>
      <c r="N66" s="1245"/>
      <c r="O66" s="1245"/>
      <c r="P66" s="1245"/>
      <c r="Q66" s="1245"/>
      <c r="R66" s="1245"/>
      <c r="S66" s="1245"/>
      <c r="T66" s="1245"/>
      <c r="U66" s="1245"/>
      <c r="V66" s="1245"/>
      <c r="W66" s="1245"/>
      <c r="X66" s="1246"/>
    </row>
    <row r="67" spans="2:24" ht="35.1" customHeight="1">
      <c r="B67" s="314"/>
      <c r="C67" s="1248" t="s">
        <v>702</v>
      </c>
      <c r="D67" s="1248"/>
      <c r="E67" s="1248"/>
      <c r="F67" s="1248"/>
      <c r="G67" s="1248"/>
      <c r="H67" s="1248"/>
      <c r="I67" s="1248"/>
      <c r="J67" s="1248"/>
      <c r="K67" s="1248"/>
      <c r="L67" s="1248"/>
      <c r="M67" s="1248"/>
      <c r="N67" s="1248"/>
      <c r="O67" s="1248"/>
      <c r="P67" s="1248"/>
      <c r="Q67" s="1248"/>
      <c r="R67" s="1248"/>
      <c r="S67" s="1248"/>
      <c r="T67" s="1248"/>
      <c r="U67" s="1248"/>
      <c r="V67" s="1248"/>
      <c r="W67" s="1248"/>
      <c r="X67" s="1249"/>
    </row>
    <row r="68" spans="2:24" ht="5.25" customHeight="1">
      <c r="B68" s="1237"/>
      <c r="C68" s="1237"/>
      <c r="D68" s="1237"/>
      <c r="E68" s="1237"/>
      <c r="F68" s="1237"/>
      <c r="G68" s="1237"/>
      <c r="H68" s="1237"/>
      <c r="I68" s="1237"/>
      <c r="J68" s="1237"/>
      <c r="K68" s="1237"/>
      <c r="L68" s="1237"/>
      <c r="M68" s="1237"/>
      <c r="N68" s="1237"/>
      <c r="O68" s="1237"/>
      <c r="P68" s="1237"/>
      <c r="Q68" s="1237"/>
      <c r="R68" s="1237"/>
      <c r="S68" s="1237"/>
      <c r="T68" s="1237"/>
      <c r="U68" s="1237"/>
      <c r="V68" s="1237"/>
      <c r="W68" s="1237"/>
      <c r="X68" s="1237"/>
    </row>
    <row r="69" spans="2:24" ht="21.9" customHeight="1">
      <c r="B69" s="1322" t="s">
        <v>923</v>
      </c>
      <c r="C69" s="1323"/>
      <c r="D69" s="1323"/>
      <c r="E69" s="1323"/>
      <c r="F69" s="1323"/>
      <c r="G69" s="1323"/>
      <c r="H69" s="1323"/>
      <c r="I69" s="1323"/>
      <c r="J69" s="1323"/>
      <c r="K69" s="1323"/>
      <c r="L69" s="1323"/>
      <c r="M69" s="1323"/>
      <c r="N69" s="1323"/>
      <c r="O69" s="1323"/>
      <c r="P69" s="1323"/>
      <c r="Q69" s="1323"/>
      <c r="R69" s="1323"/>
      <c r="S69" s="1323"/>
      <c r="T69" s="1323"/>
      <c r="U69" s="1323"/>
      <c r="V69" s="1323"/>
      <c r="W69" s="1323"/>
      <c r="X69" s="1324"/>
    </row>
    <row r="70" spans="2:24" ht="15.9" customHeight="1">
      <c r="B70" s="1308" t="s">
        <v>703</v>
      </c>
      <c r="C70" s="1309"/>
      <c r="D70" s="1309"/>
      <c r="E70" s="1309"/>
      <c r="F70" s="1309"/>
      <c r="G70" s="1309"/>
      <c r="H70" s="1309"/>
      <c r="I70" s="1309"/>
      <c r="J70" s="1309"/>
      <c r="K70" s="1309"/>
      <c r="L70" s="1309"/>
      <c r="M70" s="1309"/>
      <c r="N70" s="1309"/>
      <c r="O70" s="1309"/>
      <c r="P70" s="391"/>
      <c r="Q70" s="1310" t="s">
        <v>652</v>
      </c>
      <c r="R70" s="1310"/>
      <c r="S70" s="1310"/>
      <c r="T70" s="391"/>
      <c r="U70" s="1310" t="s">
        <v>431</v>
      </c>
      <c r="V70" s="1310"/>
      <c r="W70" s="1310"/>
      <c r="X70" s="1311"/>
    </row>
    <row r="71" spans="2:24" ht="20.100000000000001" customHeight="1">
      <c r="B71" s="1312" t="s">
        <v>704</v>
      </c>
      <c r="C71" s="1313"/>
      <c r="D71" s="1313"/>
      <c r="E71" s="1313"/>
      <c r="F71" s="1313"/>
      <c r="G71" s="1313"/>
      <c r="H71" s="1313"/>
      <c r="I71" s="1313"/>
      <c r="J71" s="1313"/>
      <c r="K71" s="1313"/>
      <c r="L71" s="1313"/>
      <c r="M71" s="1313"/>
      <c r="N71" s="1313"/>
      <c r="O71" s="1313"/>
      <c r="P71" s="1313"/>
      <c r="Q71" s="1313"/>
      <c r="R71" s="1313"/>
      <c r="S71" s="1313"/>
      <c r="T71" s="1313"/>
      <c r="U71" s="1313"/>
      <c r="V71" s="1313"/>
      <c r="W71" s="1313"/>
      <c r="X71" s="1314"/>
    </row>
    <row r="72" spans="2:24" ht="20.100000000000001" customHeight="1">
      <c r="B72" s="1312"/>
      <c r="C72" s="1313"/>
      <c r="D72" s="1313"/>
      <c r="E72" s="1313"/>
      <c r="F72" s="1313"/>
      <c r="G72" s="1313"/>
      <c r="H72" s="1313"/>
      <c r="I72" s="1313"/>
      <c r="J72" s="1313"/>
      <c r="K72" s="1313"/>
      <c r="L72" s="1313"/>
      <c r="M72" s="1313"/>
      <c r="N72" s="1313"/>
      <c r="O72" s="1313"/>
      <c r="P72" s="1313"/>
      <c r="Q72" s="1313"/>
      <c r="R72" s="1313"/>
      <c r="S72" s="1313"/>
      <c r="T72" s="1313"/>
      <c r="U72" s="1313"/>
      <c r="V72" s="1313"/>
      <c r="W72" s="1313"/>
      <c r="X72" s="1314"/>
    </row>
    <row r="73" spans="2:24" ht="20.100000000000001" customHeight="1">
      <c r="B73" s="1312"/>
      <c r="C73" s="1313"/>
      <c r="D73" s="1313"/>
      <c r="E73" s="1313"/>
      <c r="F73" s="1313"/>
      <c r="G73" s="1313"/>
      <c r="H73" s="1313"/>
      <c r="I73" s="1313"/>
      <c r="J73" s="1313"/>
      <c r="K73" s="1313"/>
      <c r="L73" s="1313"/>
      <c r="M73" s="1313"/>
      <c r="N73" s="1313"/>
      <c r="O73" s="1313"/>
      <c r="P73" s="1313"/>
      <c r="Q73" s="1313"/>
      <c r="R73" s="1313"/>
      <c r="S73" s="1313"/>
      <c r="T73" s="1313"/>
      <c r="U73" s="1313"/>
      <c r="V73" s="1313"/>
      <c r="W73" s="1313"/>
      <c r="X73" s="1314"/>
    </row>
    <row r="74" spans="2:24" ht="20.100000000000001" customHeight="1">
      <c r="B74" s="1315"/>
      <c r="C74" s="1316"/>
      <c r="D74" s="1316"/>
      <c r="E74" s="1316"/>
      <c r="F74" s="1316"/>
      <c r="G74" s="1316"/>
      <c r="H74" s="1316"/>
      <c r="I74" s="1316"/>
      <c r="J74" s="1316"/>
      <c r="K74" s="1316"/>
      <c r="L74" s="1316"/>
      <c r="M74" s="1316"/>
      <c r="N74" s="1316"/>
      <c r="O74" s="1316"/>
      <c r="P74" s="1316"/>
      <c r="Q74" s="1316"/>
      <c r="R74" s="1316"/>
      <c r="S74" s="1316"/>
      <c r="T74" s="1316"/>
      <c r="U74" s="1316"/>
      <c r="V74" s="1316"/>
      <c r="W74" s="1316"/>
      <c r="X74" s="1317"/>
    </row>
    <row r="75" spans="2:24" ht="5.25" customHeight="1">
      <c r="B75" s="1321" t="s">
        <v>483</v>
      </c>
      <c r="C75" s="1321"/>
      <c r="D75" s="1321"/>
      <c r="E75" s="1321"/>
      <c r="F75" s="1321"/>
      <c r="G75" s="1321"/>
      <c r="H75" s="1321"/>
      <c r="I75" s="1321"/>
      <c r="J75" s="1321"/>
      <c r="K75" s="1321"/>
      <c r="L75" s="1321"/>
      <c r="M75" s="1321"/>
      <c r="N75" s="1321"/>
      <c r="O75" s="1321"/>
      <c r="P75" s="1321"/>
      <c r="Q75" s="1321"/>
      <c r="R75" s="1321"/>
      <c r="S75" s="1321"/>
      <c r="T75" s="1321"/>
      <c r="U75" s="1321"/>
      <c r="V75" s="1321"/>
      <c r="W75" s="1321"/>
      <c r="X75" s="1321"/>
    </row>
    <row r="76" spans="2:24" ht="60" customHeight="1">
      <c r="B76" s="316" t="s">
        <v>483</v>
      </c>
      <c r="C76" s="1261" t="s">
        <v>705</v>
      </c>
      <c r="D76" s="1318"/>
      <c r="E76" s="1318"/>
      <c r="F76" s="1318"/>
      <c r="G76" s="1318"/>
      <c r="H76" s="1318"/>
      <c r="I76" s="1318"/>
      <c r="J76" s="1318"/>
      <c r="K76" s="1318"/>
      <c r="L76" s="1318"/>
      <c r="M76" s="1318"/>
      <c r="N76" s="1318"/>
      <c r="O76" s="1318"/>
      <c r="P76" s="1318"/>
      <c r="Q76" s="1318"/>
      <c r="R76" s="1318"/>
      <c r="S76" s="1318"/>
      <c r="T76" s="1318"/>
      <c r="U76" s="1318"/>
      <c r="V76" s="1318"/>
      <c r="W76" s="1318"/>
      <c r="X76" s="1318"/>
    </row>
    <row r="77" spans="2:24" s="4" customFormat="1" ht="34.950000000000003" customHeight="1">
      <c r="B77" s="1298" t="s">
        <v>437</v>
      </c>
      <c r="C77" s="1298"/>
      <c r="D77" s="1298"/>
      <c r="E77" s="1298"/>
      <c r="F77" s="1298"/>
      <c r="G77" s="1319"/>
      <c r="H77" s="1319"/>
      <c r="I77" s="1319"/>
      <c r="J77" s="1319"/>
      <c r="K77" s="1319"/>
      <c r="L77" s="1319"/>
      <c r="M77" s="1319"/>
      <c r="N77" s="1319"/>
      <c r="O77" s="1319"/>
      <c r="P77" s="1319"/>
      <c r="Q77" s="1319"/>
      <c r="R77" s="1319"/>
      <c r="S77" s="1319"/>
      <c r="T77" s="1300" t="s">
        <v>429</v>
      </c>
      <c r="U77" s="1300"/>
      <c r="V77" s="1320"/>
      <c r="W77" s="1320"/>
      <c r="X77" s="1320"/>
    </row>
    <row r="78" spans="2:24" s="4" customFormat="1" ht="34.950000000000003" customHeight="1">
      <c r="B78" s="1298" t="s">
        <v>438</v>
      </c>
      <c r="C78" s="1298"/>
      <c r="D78" s="1298"/>
      <c r="E78" s="1298"/>
      <c r="F78" s="1298"/>
      <c r="G78" s="1299"/>
      <c r="H78" s="1299"/>
      <c r="I78" s="1299"/>
      <c r="J78" s="1299"/>
      <c r="K78" s="1299"/>
      <c r="L78" s="1299"/>
      <c r="M78" s="1299"/>
      <c r="N78" s="1299"/>
      <c r="O78" s="1299"/>
      <c r="P78" s="1299"/>
      <c r="Q78" s="1299"/>
      <c r="R78" s="1299"/>
      <c r="S78" s="1299"/>
      <c r="T78" s="1300" t="s">
        <v>429</v>
      </c>
      <c r="U78" s="1300"/>
      <c r="V78" s="1301"/>
      <c r="W78" s="1301"/>
      <c r="X78" s="1301"/>
    </row>
    <row r="79" spans="2:24" s="4" customFormat="1" ht="5.25" customHeight="1">
      <c r="B79" s="1307"/>
      <c r="C79" s="1307"/>
      <c r="D79" s="1307"/>
      <c r="E79" s="1307"/>
      <c r="F79" s="1307"/>
      <c r="G79" s="1307"/>
      <c r="H79" s="1307"/>
      <c r="I79" s="1307"/>
      <c r="J79" s="1307"/>
      <c r="K79" s="1307"/>
      <c r="L79" s="1307"/>
      <c r="M79" s="1307"/>
      <c r="N79" s="1307"/>
      <c r="O79" s="1307"/>
      <c r="P79" s="1307"/>
      <c r="Q79" s="1307"/>
      <c r="R79" s="1307"/>
      <c r="S79" s="1307"/>
      <c r="T79" s="1307"/>
      <c r="U79" s="1307"/>
      <c r="V79" s="1307"/>
      <c r="W79" s="1307"/>
      <c r="X79" s="1307"/>
    </row>
    <row r="80" spans="2:24" s="4" customFormat="1" ht="54.9" customHeight="1">
      <c r="B80" s="1302" t="s">
        <v>706</v>
      </c>
      <c r="C80" s="1302"/>
      <c r="D80" s="1302"/>
      <c r="E80" s="1302"/>
      <c r="F80" s="1302"/>
      <c r="G80" s="1302"/>
      <c r="H80" s="1302"/>
      <c r="I80" s="1302"/>
      <c r="J80" s="1302"/>
      <c r="K80" s="1302"/>
      <c r="L80" s="1302"/>
      <c r="M80" s="1302"/>
      <c r="N80" s="1302"/>
      <c r="O80" s="1302"/>
      <c r="P80" s="1302"/>
      <c r="Q80" s="1302"/>
      <c r="R80" s="1302"/>
      <c r="S80" s="1302"/>
      <c r="T80" s="1302"/>
      <c r="U80" s="1302"/>
      <c r="V80" s="1302"/>
      <c r="W80" s="1302"/>
      <c r="X80" s="1302"/>
    </row>
    <row r="81" spans="2:24" s="4" customFormat="1" ht="5.25" customHeight="1">
      <c r="B81" s="1306"/>
      <c r="C81" s="1306"/>
      <c r="D81" s="1306"/>
      <c r="E81" s="1306"/>
      <c r="F81" s="1306"/>
      <c r="G81" s="1306"/>
      <c r="H81" s="1306"/>
      <c r="I81" s="1306"/>
      <c r="J81" s="1306"/>
      <c r="K81" s="1306"/>
      <c r="L81" s="1306"/>
      <c r="M81" s="1306"/>
      <c r="N81" s="1306"/>
      <c r="O81" s="1306"/>
      <c r="P81" s="1306"/>
      <c r="Q81" s="1306"/>
      <c r="R81" s="1306"/>
      <c r="S81" s="1306"/>
      <c r="T81" s="1306"/>
      <c r="U81" s="1306"/>
      <c r="V81" s="1306"/>
      <c r="W81" s="1306"/>
      <c r="X81" s="1306"/>
    </row>
    <row r="82" spans="2:24" ht="24" customHeight="1">
      <c r="B82" s="1303" t="s">
        <v>924</v>
      </c>
      <c r="C82" s="1304"/>
      <c r="D82" s="1304"/>
      <c r="E82" s="1304"/>
      <c r="F82" s="1304"/>
      <c r="G82" s="1304"/>
      <c r="H82" s="1304"/>
      <c r="I82" s="1304"/>
      <c r="J82" s="1304"/>
      <c r="K82" s="1304"/>
      <c r="L82" s="1304"/>
      <c r="M82" s="1304"/>
      <c r="N82" s="1304"/>
      <c r="O82" s="1304"/>
      <c r="P82" s="1304"/>
      <c r="Q82" s="1304"/>
      <c r="R82" s="1304"/>
      <c r="S82" s="1304"/>
      <c r="T82" s="1304"/>
      <c r="U82" s="1304"/>
      <c r="V82" s="1304"/>
      <c r="W82" s="1304"/>
      <c r="X82" s="1305"/>
    </row>
    <row r="83" spans="2:24" ht="15.9" customHeight="1">
      <c r="B83" s="1257" t="s">
        <v>707</v>
      </c>
      <c r="C83" s="1258"/>
      <c r="D83" s="1258"/>
      <c r="E83" s="1258"/>
      <c r="F83" s="1258"/>
      <c r="G83" s="1258"/>
      <c r="H83" s="1258"/>
      <c r="I83" s="1258"/>
      <c r="J83" s="1258"/>
      <c r="K83" s="1258"/>
      <c r="L83" s="1258"/>
      <c r="M83" s="1258"/>
      <c r="N83" s="1258"/>
      <c r="O83" s="1258"/>
      <c r="P83" s="1258"/>
      <c r="Q83" s="1258"/>
      <c r="R83" s="1258"/>
      <c r="S83" s="1258"/>
      <c r="T83" s="1258"/>
      <c r="U83" s="1258"/>
      <c r="V83" s="1258"/>
      <c r="W83" s="1258"/>
      <c r="X83" s="1287"/>
    </row>
    <row r="84" spans="2:24" ht="24" customHeight="1">
      <c r="B84" s="1256" t="s">
        <v>708</v>
      </c>
      <c r="C84" s="1253"/>
      <c r="D84" s="1253"/>
      <c r="E84" s="1253"/>
      <c r="F84" s="1288"/>
      <c r="G84" s="1294"/>
      <c r="H84" s="1294"/>
      <c r="I84" s="1294"/>
      <c r="J84" s="1294"/>
      <c r="K84" s="1294"/>
      <c r="L84" s="1294"/>
      <c r="M84" s="1294"/>
      <c r="N84" s="1294"/>
      <c r="O84" s="1294"/>
      <c r="P84" s="1294"/>
      <c r="Q84" s="1256" t="s">
        <v>709</v>
      </c>
      <c r="R84" s="1288"/>
      <c r="S84" s="1289"/>
      <c r="T84" s="1271"/>
      <c r="U84" s="1271"/>
      <c r="V84" s="1271"/>
      <c r="W84" s="1271"/>
      <c r="X84" s="1272"/>
    </row>
    <row r="85" spans="2:24" ht="24" customHeight="1">
      <c r="B85" s="1295" t="s">
        <v>710</v>
      </c>
      <c r="C85" s="1296"/>
      <c r="D85" s="1296"/>
      <c r="E85" s="1296"/>
      <c r="F85" s="1296"/>
      <c r="G85" s="1296"/>
      <c r="H85" s="1296"/>
      <c r="I85" s="1296"/>
      <c r="J85" s="1296"/>
      <c r="K85" s="1296"/>
      <c r="L85" s="1296"/>
      <c r="M85" s="1296"/>
      <c r="N85" s="1296"/>
      <c r="O85" s="1296"/>
      <c r="P85" s="1296"/>
      <c r="Q85" s="1296"/>
      <c r="R85" s="1296"/>
      <c r="S85" s="1296"/>
      <c r="T85" s="1296"/>
      <c r="U85" s="1296"/>
      <c r="V85" s="1296"/>
      <c r="W85" s="1296"/>
      <c r="X85" s="1297"/>
    </row>
    <row r="86" spans="2:24" ht="24" customHeight="1">
      <c r="B86" s="63"/>
      <c r="C86" s="395"/>
      <c r="D86" s="395"/>
      <c r="E86" s="1290" t="s">
        <v>711</v>
      </c>
      <c r="F86" s="1290"/>
      <c r="G86" s="1291"/>
      <c r="H86" s="1292"/>
      <c r="I86" s="1293"/>
      <c r="J86" s="1290" t="s">
        <v>712</v>
      </c>
      <c r="K86" s="1290"/>
      <c r="L86" s="1291"/>
      <c r="M86" s="1292"/>
      <c r="N86" s="1293"/>
      <c r="O86" s="1290" t="s">
        <v>713</v>
      </c>
      <c r="P86" s="1290"/>
      <c r="Q86" s="1290"/>
      <c r="R86" s="1291"/>
      <c r="S86" s="1292"/>
      <c r="T86" s="1293"/>
      <c r="U86" s="395"/>
      <c r="V86" s="395"/>
      <c r="W86" s="395"/>
      <c r="X86" s="322"/>
    </row>
    <row r="87" spans="2:24" ht="24" customHeight="1">
      <c r="B87" s="1284" t="s">
        <v>648</v>
      </c>
      <c r="C87" s="1285"/>
      <c r="D87" s="1279"/>
      <c r="E87" s="1279"/>
      <c r="F87" s="1279"/>
      <c r="G87" s="1279"/>
      <c r="H87" s="1279"/>
      <c r="I87" s="1279"/>
      <c r="J87" s="1279"/>
      <c r="K87" s="1279"/>
      <c r="L87" s="1279"/>
      <c r="M87" s="1284" t="s">
        <v>649</v>
      </c>
      <c r="N87" s="1285"/>
      <c r="O87" s="1279"/>
      <c r="P87" s="1279"/>
      <c r="Q87" s="1279"/>
      <c r="R87" s="323" t="s">
        <v>1</v>
      </c>
      <c r="S87" s="1284" t="s">
        <v>650</v>
      </c>
      <c r="T87" s="1286"/>
      <c r="U87" s="1285"/>
      <c r="V87" s="1279"/>
      <c r="W87" s="1279"/>
      <c r="X87" s="1280"/>
    </row>
    <row r="88" spans="2:24" ht="34.950000000000003" customHeight="1">
      <c r="B88" s="1268" t="s">
        <v>714</v>
      </c>
      <c r="C88" s="1269"/>
      <c r="D88" s="1269"/>
      <c r="E88" s="1269"/>
      <c r="F88" s="1269"/>
      <c r="G88" s="1270"/>
      <c r="H88" s="1270"/>
      <c r="I88" s="1270"/>
      <c r="J88" s="1270"/>
      <c r="K88" s="1270"/>
      <c r="L88" s="1270"/>
      <c r="M88" s="1270"/>
      <c r="N88" s="1270"/>
      <c r="O88" s="1270"/>
      <c r="P88" s="1270"/>
      <c r="Q88" s="1270"/>
      <c r="R88" s="1270"/>
      <c r="S88" s="1270"/>
      <c r="T88" s="1270"/>
      <c r="U88" s="324" t="s">
        <v>429</v>
      </c>
      <c r="V88" s="1271"/>
      <c r="W88" s="1271"/>
      <c r="X88" s="1272"/>
    </row>
    <row r="89" spans="2:24" ht="15.9" customHeight="1">
      <c r="B89" s="1257" t="s">
        <v>715</v>
      </c>
      <c r="C89" s="1258"/>
      <c r="D89" s="1258"/>
      <c r="E89" s="1258"/>
      <c r="F89" s="1258"/>
      <c r="G89" s="1258"/>
      <c r="H89" s="1258"/>
      <c r="I89" s="1258"/>
      <c r="J89" s="1258"/>
      <c r="K89" s="1258"/>
      <c r="L89" s="1258"/>
      <c r="M89" s="1258"/>
      <c r="N89" s="1258"/>
      <c r="O89" s="1258"/>
      <c r="P89" s="1258"/>
      <c r="Q89" s="1258"/>
      <c r="R89" s="1258"/>
      <c r="S89" s="1258"/>
      <c r="T89" s="1258"/>
      <c r="U89" s="1258"/>
      <c r="V89" s="1258"/>
      <c r="W89" s="1258"/>
      <c r="X89" s="1287"/>
    </row>
    <row r="90" spans="2:24" ht="20.100000000000001" customHeight="1">
      <c r="B90" s="1256" t="s">
        <v>716</v>
      </c>
      <c r="C90" s="1253"/>
      <c r="D90" s="1253"/>
      <c r="E90" s="1253"/>
      <c r="F90" s="1253"/>
      <c r="G90" s="1288"/>
      <c r="H90" s="1289"/>
      <c r="I90" s="1271"/>
      <c r="J90" s="1271"/>
      <c r="K90" s="1271"/>
      <c r="L90" s="1271"/>
      <c r="M90" s="1271"/>
      <c r="N90" s="1271"/>
      <c r="O90" s="1271"/>
      <c r="P90" s="1272"/>
      <c r="Q90" s="1256" t="s">
        <v>709</v>
      </c>
      <c r="R90" s="1288"/>
      <c r="S90" s="1289"/>
      <c r="T90" s="1271"/>
      <c r="U90" s="1271"/>
      <c r="V90" s="1271"/>
      <c r="W90" s="1271"/>
      <c r="X90" s="1272"/>
    </row>
    <row r="91" spans="2:24" ht="20.100000000000001" customHeight="1">
      <c r="B91" s="1275" t="s">
        <v>717</v>
      </c>
      <c r="C91" s="1276"/>
      <c r="D91" s="1276"/>
      <c r="E91" s="1276"/>
      <c r="F91" s="1276"/>
      <c r="G91" s="1277"/>
      <c r="H91" s="1278"/>
      <c r="I91" s="1279"/>
      <c r="J91" s="1279"/>
      <c r="K91" s="1279"/>
      <c r="L91" s="1279"/>
      <c r="M91" s="1279"/>
      <c r="N91" s="1279"/>
      <c r="O91" s="1279"/>
      <c r="P91" s="1279"/>
      <c r="Q91" s="1279"/>
      <c r="R91" s="1279"/>
      <c r="S91" s="1279"/>
      <c r="T91" s="1279"/>
      <c r="U91" s="1279"/>
      <c r="V91" s="1279"/>
      <c r="W91" s="1279"/>
      <c r="X91" s="1280"/>
    </row>
    <row r="92" spans="2:24" ht="24" customHeight="1">
      <c r="B92" s="1281" t="s">
        <v>718</v>
      </c>
      <c r="C92" s="1282"/>
      <c r="D92" s="1282"/>
      <c r="E92" s="1282"/>
      <c r="F92" s="1282"/>
      <c r="G92" s="1282"/>
      <c r="H92" s="1282"/>
      <c r="I92" s="1282"/>
      <c r="J92" s="1282"/>
      <c r="K92" s="1282"/>
      <c r="L92" s="1282"/>
      <c r="M92" s="1282"/>
      <c r="N92" s="1282"/>
      <c r="O92" s="1282"/>
      <c r="P92" s="1282"/>
      <c r="Q92" s="1282"/>
      <c r="R92" s="1282"/>
      <c r="S92" s="1282"/>
      <c r="T92" s="1282"/>
      <c r="U92" s="1282"/>
      <c r="V92" s="1282"/>
      <c r="W92" s="1282"/>
      <c r="X92" s="1283"/>
    </row>
    <row r="93" spans="2:24" ht="20.100000000000001" customHeight="1">
      <c r="B93" s="1284" t="s">
        <v>648</v>
      </c>
      <c r="C93" s="1285"/>
      <c r="D93" s="1279"/>
      <c r="E93" s="1279"/>
      <c r="F93" s="1279"/>
      <c r="G93" s="1279"/>
      <c r="H93" s="1279"/>
      <c r="I93" s="1279"/>
      <c r="J93" s="1279"/>
      <c r="K93" s="1279"/>
      <c r="L93" s="1279"/>
      <c r="M93" s="1284" t="s">
        <v>649</v>
      </c>
      <c r="N93" s="1285"/>
      <c r="O93" s="1279"/>
      <c r="P93" s="1279"/>
      <c r="Q93" s="1279"/>
      <c r="R93" s="323" t="s">
        <v>1</v>
      </c>
      <c r="S93" s="1284" t="s">
        <v>650</v>
      </c>
      <c r="T93" s="1286"/>
      <c r="U93" s="1285"/>
      <c r="V93" s="1279"/>
      <c r="W93" s="1279"/>
      <c r="X93" s="1280"/>
    </row>
    <row r="94" spans="2:24" ht="34.950000000000003" customHeight="1">
      <c r="B94" s="1268" t="s">
        <v>719</v>
      </c>
      <c r="C94" s="1269"/>
      <c r="D94" s="1269"/>
      <c r="E94" s="1269"/>
      <c r="F94" s="1269"/>
      <c r="G94" s="1270"/>
      <c r="H94" s="1270"/>
      <c r="I94" s="1270"/>
      <c r="J94" s="1270"/>
      <c r="K94" s="1270"/>
      <c r="L94" s="1270"/>
      <c r="M94" s="1270"/>
      <c r="N94" s="1270"/>
      <c r="O94" s="1270"/>
      <c r="P94" s="1270"/>
      <c r="Q94" s="1270"/>
      <c r="R94" s="1270"/>
      <c r="S94" s="1270"/>
      <c r="T94" s="1270"/>
      <c r="U94" s="324" t="s">
        <v>429</v>
      </c>
      <c r="V94" s="1271"/>
      <c r="W94" s="1271"/>
      <c r="X94" s="1272"/>
    </row>
    <row r="95" spans="2:24" ht="5.25" customHeight="1">
      <c r="B95" s="1274"/>
      <c r="C95" s="1274"/>
      <c r="D95" s="1274"/>
      <c r="E95" s="1274"/>
      <c r="F95" s="1274"/>
      <c r="G95" s="1274"/>
      <c r="H95" s="1274"/>
      <c r="I95" s="1274"/>
      <c r="J95" s="1274"/>
      <c r="K95" s="1274"/>
      <c r="L95" s="1274"/>
      <c r="M95" s="1274"/>
      <c r="N95" s="1274"/>
      <c r="O95" s="1274"/>
      <c r="P95" s="1274"/>
      <c r="Q95" s="1274"/>
      <c r="R95" s="1274"/>
      <c r="S95" s="1274"/>
      <c r="T95" s="1274"/>
      <c r="U95" s="1274"/>
      <c r="V95" s="1274"/>
      <c r="W95" s="1274"/>
      <c r="X95" s="1274"/>
    </row>
    <row r="96" spans="2:24" ht="24" customHeight="1">
      <c r="B96" s="1273" t="s">
        <v>720</v>
      </c>
      <c r="C96" s="1273"/>
      <c r="D96" s="1273"/>
      <c r="E96" s="1273"/>
      <c r="F96" s="1273"/>
      <c r="G96" s="1273"/>
      <c r="H96" s="1273"/>
      <c r="I96" s="1273"/>
      <c r="J96" s="1273"/>
      <c r="K96" s="1273"/>
      <c r="L96" s="1273"/>
      <c r="M96" s="1273"/>
      <c r="N96" s="1273"/>
      <c r="O96" s="1273"/>
      <c r="P96" s="1273"/>
      <c r="Q96" s="1273"/>
      <c r="R96" s="1273"/>
      <c r="S96" s="1273"/>
      <c r="T96" s="1273"/>
      <c r="U96" s="1273"/>
      <c r="V96" s="1273"/>
      <c r="W96" s="1273"/>
      <c r="X96" s="1273"/>
    </row>
    <row r="97" spans="2:24" s="21" customFormat="1" ht="156" customHeight="1">
      <c r="B97" s="1261" t="s">
        <v>1483</v>
      </c>
      <c r="C97" s="1261"/>
      <c r="D97" s="1261"/>
      <c r="E97" s="1261"/>
      <c r="F97" s="1261"/>
      <c r="G97" s="1261"/>
      <c r="H97" s="1261"/>
      <c r="I97" s="1261"/>
      <c r="J97" s="1261"/>
      <c r="K97" s="1261"/>
      <c r="L97" s="1261"/>
      <c r="M97" s="1261"/>
      <c r="N97" s="1261"/>
      <c r="O97" s="1261"/>
      <c r="P97" s="1261"/>
      <c r="Q97" s="1261"/>
      <c r="R97" s="1261"/>
      <c r="S97" s="1261"/>
      <c r="T97" s="1261"/>
      <c r="U97" s="1261"/>
      <c r="V97" s="1261"/>
      <c r="W97" s="1261"/>
      <c r="X97" s="1261"/>
    </row>
    <row r="98" spans="2:24" s="21" customFormat="1" ht="35.1" customHeight="1">
      <c r="B98" s="1261" t="s">
        <v>721</v>
      </c>
      <c r="C98" s="1261"/>
      <c r="D98" s="1261"/>
      <c r="E98" s="1261"/>
      <c r="F98" s="1261"/>
      <c r="G98" s="1261"/>
      <c r="H98" s="1261"/>
      <c r="I98" s="1261"/>
      <c r="J98" s="1261"/>
      <c r="K98" s="1261"/>
      <c r="L98" s="1261"/>
      <c r="M98" s="1261"/>
      <c r="N98" s="1261"/>
      <c r="O98" s="1261"/>
      <c r="P98" s="1261"/>
      <c r="Q98" s="1261"/>
      <c r="R98" s="1261"/>
      <c r="S98" s="1261"/>
      <c r="T98" s="1261"/>
      <c r="U98" s="1261"/>
      <c r="V98" s="1261"/>
      <c r="W98" s="1261"/>
      <c r="X98" s="1261"/>
    </row>
    <row r="99" spans="2:24" s="21" customFormat="1" ht="60" customHeight="1">
      <c r="B99" s="1262" t="s">
        <v>722</v>
      </c>
      <c r="C99" s="1262"/>
      <c r="D99" s="1262"/>
      <c r="E99" s="1262"/>
      <c r="F99" s="1262"/>
      <c r="G99" s="1262"/>
      <c r="H99" s="1262"/>
      <c r="I99" s="1262"/>
      <c r="J99" s="1262"/>
      <c r="K99" s="1262"/>
      <c r="L99" s="1262"/>
      <c r="M99" s="1262"/>
      <c r="N99" s="1262"/>
      <c r="O99" s="1262"/>
      <c r="P99" s="1262"/>
      <c r="Q99" s="1262"/>
      <c r="R99" s="1262"/>
      <c r="S99" s="1262"/>
      <c r="T99" s="1262"/>
      <c r="U99" s="1262"/>
      <c r="V99" s="1262"/>
      <c r="W99" s="1262"/>
      <c r="X99" s="1262"/>
    </row>
    <row r="100" spans="2:24" s="21" customFormat="1" ht="48" customHeight="1">
      <c r="B100" s="1261" t="s">
        <v>723</v>
      </c>
      <c r="C100" s="1261"/>
      <c r="D100" s="1261"/>
      <c r="E100" s="1261"/>
      <c r="F100" s="1261"/>
      <c r="G100" s="1261"/>
      <c r="H100" s="1261"/>
      <c r="I100" s="1261"/>
      <c r="J100" s="1261"/>
      <c r="K100" s="1261"/>
      <c r="L100" s="1261"/>
      <c r="M100" s="1261"/>
      <c r="N100" s="1261"/>
      <c r="O100" s="1261"/>
      <c r="P100" s="1261"/>
      <c r="Q100" s="1261"/>
      <c r="R100" s="1261"/>
      <c r="S100" s="1261"/>
      <c r="T100" s="1261"/>
      <c r="U100" s="1261"/>
      <c r="V100" s="1261"/>
      <c r="W100" s="1261"/>
      <c r="X100" s="1261"/>
    </row>
    <row r="101" spans="2:24" s="21" customFormat="1" ht="35.1" customHeight="1">
      <c r="B101" s="1262" t="s">
        <v>724</v>
      </c>
      <c r="C101" s="1262"/>
      <c r="D101" s="1262"/>
      <c r="E101" s="1262"/>
      <c r="F101" s="1262"/>
      <c r="G101" s="1262"/>
      <c r="H101" s="1262"/>
      <c r="I101" s="1262"/>
      <c r="J101" s="1262"/>
      <c r="K101" s="1262"/>
      <c r="L101" s="1262"/>
      <c r="M101" s="1262"/>
      <c r="N101" s="1262"/>
      <c r="O101" s="1262"/>
      <c r="P101" s="1262"/>
      <c r="Q101" s="1262"/>
      <c r="R101" s="1262"/>
      <c r="S101" s="1262"/>
      <c r="T101" s="1262"/>
      <c r="U101" s="1262"/>
      <c r="V101" s="1262"/>
      <c r="W101" s="1262"/>
      <c r="X101" s="1262"/>
    </row>
    <row r="102" spans="2:24" s="21" customFormat="1" ht="80.099999999999994" customHeight="1">
      <c r="B102" s="1262" t="s">
        <v>725</v>
      </c>
      <c r="C102" s="1262"/>
      <c r="D102" s="1262"/>
      <c r="E102" s="1262"/>
      <c r="F102" s="1262"/>
      <c r="G102" s="1262"/>
      <c r="H102" s="1262"/>
      <c r="I102" s="1262"/>
      <c r="J102" s="1262"/>
      <c r="K102" s="1262"/>
      <c r="L102" s="1262"/>
      <c r="M102" s="1262"/>
      <c r="N102" s="1262"/>
      <c r="O102" s="1262"/>
      <c r="P102" s="1262"/>
      <c r="Q102" s="1262"/>
      <c r="R102" s="1262"/>
      <c r="S102" s="1262"/>
      <c r="T102" s="1262"/>
      <c r="U102" s="1262"/>
      <c r="V102" s="1262"/>
      <c r="W102" s="1262"/>
      <c r="X102" s="1262"/>
    </row>
    <row r="103" spans="2:24" s="21" customFormat="1" ht="35.1" customHeight="1">
      <c r="B103" s="1261" t="s">
        <v>726</v>
      </c>
      <c r="C103" s="1261"/>
      <c r="D103" s="1261"/>
      <c r="E103" s="1261"/>
      <c r="F103" s="1261"/>
      <c r="G103" s="1261"/>
      <c r="H103" s="1261"/>
      <c r="I103" s="1261"/>
      <c r="J103" s="1261"/>
      <c r="K103" s="1261"/>
      <c r="L103" s="1261"/>
      <c r="M103" s="1261"/>
      <c r="N103" s="1261"/>
      <c r="O103" s="1261"/>
      <c r="P103" s="1261"/>
      <c r="Q103" s="1261"/>
      <c r="R103" s="1261"/>
      <c r="S103" s="1261"/>
      <c r="T103" s="1261"/>
      <c r="U103" s="1261"/>
      <c r="V103" s="1261"/>
      <c r="W103" s="1261"/>
      <c r="X103" s="1261"/>
    </row>
    <row r="104" spans="2:24" s="21" customFormat="1" ht="54.9" customHeight="1">
      <c r="B104" s="1262" t="s">
        <v>727</v>
      </c>
      <c r="C104" s="1262"/>
      <c r="D104" s="1262"/>
      <c r="E104" s="1262"/>
      <c r="F104" s="1262"/>
      <c r="G104" s="1262"/>
      <c r="H104" s="1262"/>
      <c r="I104" s="1262"/>
      <c r="J104" s="1262"/>
      <c r="K104" s="1262"/>
      <c r="L104" s="1262"/>
      <c r="M104" s="1262"/>
      <c r="N104" s="1262"/>
      <c r="O104" s="1262"/>
      <c r="P104" s="1262"/>
      <c r="Q104" s="1262"/>
      <c r="R104" s="1262"/>
      <c r="S104" s="1262"/>
      <c r="T104" s="1262"/>
      <c r="U104" s="1262"/>
      <c r="V104" s="1262"/>
      <c r="W104" s="1262"/>
      <c r="X104" s="1262"/>
    </row>
    <row r="105" spans="2:24" s="21" customFormat="1" ht="84" customHeight="1">
      <c r="B105" s="1261" t="s">
        <v>1097</v>
      </c>
      <c r="C105" s="1262"/>
      <c r="D105" s="1262"/>
      <c r="E105" s="1262"/>
      <c r="F105" s="1262"/>
      <c r="G105" s="1262"/>
      <c r="H105" s="1262"/>
      <c r="I105" s="1262"/>
      <c r="J105" s="1262"/>
      <c r="K105" s="1262"/>
      <c r="L105" s="1262"/>
      <c r="M105" s="1262"/>
      <c r="N105" s="1262"/>
      <c r="O105" s="1262"/>
      <c r="P105" s="1262"/>
      <c r="Q105" s="1262"/>
      <c r="R105" s="1262"/>
      <c r="S105" s="1262"/>
      <c r="T105" s="1262"/>
      <c r="U105" s="1262"/>
      <c r="V105" s="1262"/>
      <c r="W105" s="1262"/>
      <c r="X105" s="1262"/>
    </row>
    <row r="106" spans="2:24" s="21" customFormat="1" ht="54.9" customHeight="1">
      <c r="B106" s="1261" t="s">
        <v>728</v>
      </c>
      <c r="C106" s="1261"/>
      <c r="D106" s="1261"/>
      <c r="E106" s="1261"/>
      <c r="F106" s="1261"/>
      <c r="G106" s="1261"/>
      <c r="H106" s="1261"/>
      <c r="I106" s="1261"/>
      <c r="J106" s="1261"/>
      <c r="K106" s="1261"/>
      <c r="L106" s="1261"/>
      <c r="M106" s="1261"/>
      <c r="N106" s="1261"/>
      <c r="O106" s="1261"/>
      <c r="P106" s="1261"/>
      <c r="Q106" s="1261"/>
      <c r="R106" s="1261"/>
      <c r="S106" s="1261"/>
      <c r="T106" s="1261"/>
      <c r="U106" s="1261"/>
      <c r="V106" s="1261"/>
      <c r="W106" s="1261"/>
      <c r="X106" s="1261"/>
    </row>
    <row r="107" spans="2:24" s="21" customFormat="1" ht="24.9" customHeight="1">
      <c r="B107" s="1262" t="s">
        <v>729</v>
      </c>
      <c r="C107" s="1262"/>
      <c r="D107" s="1262"/>
      <c r="E107" s="1262"/>
      <c r="F107" s="1262"/>
      <c r="G107" s="1262"/>
      <c r="H107" s="1262"/>
      <c r="I107" s="1262"/>
      <c r="J107" s="1262"/>
      <c r="K107" s="1262"/>
      <c r="L107" s="1262"/>
      <c r="M107" s="1262"/>
      <c r="N107" s="1262"/>
      <c r="O107" s="1262"/>
      <c r="P107" s="1262"/>
      <c r="Q107" s="1262"/>
      <c r="R107" s="1262"/>
      <c r="S107" s="1262"/>
      <c r="T107" s="1262"/>
      <c r="U107" s="1262"/>
      <c r="V107" s="1262"/>
      <c r="W107" s="1262"/>
      <c r="X107" s="1262"/>
    </row>
    <row r="108" spans="2:24" ht="12" customHeight="1">
      <c r="B108" s="318" t="s">
        <v>730</v>
      </c>
      <c r="C108" s="318"/>
      <c r="D108" s="318"/>
      <c r="E108" s="318"/>
      <c r="F108" s="318"/>
      <c r="G108" s="318"/>
      <c r="H108" s="318"/>
      <c r="I108" s="318"/>
      <c r="J108" s="318"/>
      <c r="K108" s="318"/>
      <c r="L108" s="318"/>
      <c r="M108" s="318"/>
      <c r="N108" s="318"/>
      <c r="O108" s="318"/>
      <c r="P108" s="318"/>
      <c r="Q108" s="318"/>
      <c r="R108" s="318"/>
      <c r="S108" s="318"/>
      <c r="T108" s="318"/>
      <c r="U108" s="318"/>
      <c r="V108" s="318"/>
      <c r="W108" s="318"/>
      <c r="X108" s="318"/>
    </row>
    <row r="109" spans="2:24" ht="24" customHeight="1">
      <c r="B109" s="318"/>
      <c r="C109" s="318"/>
      <c r="D109" s="318"/>
      <c r="E109" s="318"/>
      <c r="F109" s="318"/>
      <c r="G109" s="318"/>
      <c r="H109" s="318"/>
      <c r="I109" s="318"/>
      <c r="J109" s="318"/>
      <c r="K109" s="318"/>
      <c r="L109" s="318"/>
      <c r="M109" s="318"/>
      <c r="N109" s="318"/>
      <c r="O109" s="318"/>
      <c r="P109" s="318"/>
      <c r="Q109" s="318"/>
      <c r="R109" s="318"/>
      <c r="S109" s="318"/>
      <c r="T109" s="318"/>
      <c r="U109" s="318"/>
      <c r="V109" s="318"/>
      <c r="W109" s="318"/>
      <c r="X109" s="318"/>
    </row>
    <row r="110" spans="2:24" ht="24" customHeight="1">
      <c r="B110" s="318"/>
      <c r="C110" s="318"/>
      <c r="D110" s="318"/>
      <c r="E110" s="318"/>
      <c r="F110" s="318"/>
      <c r="G110" s="318"/>
      <c r="H110" s="318"/>
      <c r="I110" s="318"/>
      <c r="J110" s="318"/>
      <c r="K110" s="318"/>
      <c r="L110" s="318"/>
      <c r="M110" s="318"/>
      <c r="N110" s="318"/>
      <c r="O110" s="318"/>
      <c r="P110" s="318"/>
      <c r="Q110" s="318"/>
      <c r="R110" s="318"/>
      <c r="S110" s="318"/>
      <c r="T110" s="318"/>
      <c r="U110" s="318"/>
      <c r="V110" s="318"/>
      <c r="W110" s="318"/>
      <c r="X110" s="318"/>
    </row>
    <row r="111" spans="2:24" ht="24" customHeight="1">
      <c r="B111" s="318"/>
      <c r="C111" s="318"/>
      <c r="D111" s="318"/>
      <c r="E111" s="318"/>
      <c r="F111" s="318"/>
      <c r="G111" s="318"/>
      <c r="H111" s="318"/>
      <c r="I111" s="318"/>
      <c r="J111" s="318"/>
      <c r="K111" s="318"/>
      <c r="L111" s="318"/>
      <c r="M111" s="318"/>
      <c r="N111" s="318"/>
      <c r="O111" s="318"/>
      <c r="P111" s="318"/>
      <c r="Q111" s="318"/>
      <c r="R111" s="318"/>
      <c r="S111" s="318"/>
      <c r="T111" s="318"/>
      <c r="U111" s="318"/>
      <c r="V111" s="318"/>
      <c r="W111" s="318"/>
      <c r="X111" s="318"/>
    </row>
    <row r="112" spans="2:24" ht="24" customHeight="1">
      <c r="B112" s="318"/>
      <c r="C112" s="318"/>
      <c r="D112" s="318"/>
      <c r="E112" s="318"/>
      <c r="F112" s="318"/>
      <c r="G112" s="318"/>
      <c r="H112" s="318"/>
      <c r="I112" s="318"/>
      <c r="J112" s="318"/>
      <c r="K112" s="318"/>
      <c r="L112" s="318"/>
      <c r="M112" s="318"/>
      <c r="N112" s="318"/>
      <c r="O112" s="318"/>
      <c r="P112" s="318"/>
      <c r="Q112" s="318"/>
      <c r="R112" s="318"/>
      <c r="S112" s="318"/>
      <c r="T112" s="318"/>
      <c r="U112" s="318"/>
      <c r="V112" s="318"/>
      <c r="W112" s="318"/>
      <c r="X112" s="318"/>
    </row>
    <row r="113" spans="2:24" ht="24" customHeight="1">
      <c r="B113" s="318"/>
      <c r="C113" s="318"/>
      <c r="D113" s="318"/>
      <c r="E113" s="318"/>
      <c r="F113" s="318"/>
      <c r="G113" s="318"/>
      <c r="H113" s="318"/>
      <c r="I113" s="318"/>
      <c r="J113" s="318"/>
      <c r="K113" s="318"/>
      <c r="L113" s="318"/>
      <c r="M113" s="318"/>
      <c r="N113" s="318"/>
      <c r="O113" s="318"/>
      <c r="P113" s="318"/>
      <c r="Q113" s="318"/>
      <c r="R113" s="318"/>
      <c r="S113" s="318"/>
      <c r="T113" s="318"/>
      <c r="U113" s="318"/>
      <c r="V113" s="318"/>
      <c r="W113" s="318"/>
      <c r="X113" s="318"/>
    </row>
    <row r="114" spans="2:24" ht="24" customHeight="1">
      <c r="B114" s="318"/>
      <c r="C114" s="318"/>
      <c r="D114" s="318"/>
      <c r="E114" s="318"/>
      <c r="F114" s="318"/>
      <c r="G114" s="318"/>
      <c r="H114" s="318"/>
      <c r="I114" s="318"/>
      <c r="J114" s="318"/>
      <c r="K114" s="318"/>
      <c r="L114" s="318"/>
      <c r="M114" s="318"/>
      <c r="N114" s="318"/>
      <c r="O114" s="318"/>
      <c r="P114" s="318"/>
      <c r="Q114" s="318"/>
      <c r="R114" s="318"/>
      <c r="S114" s="318"/>
      <c r="T114" s="318"/>
      <c r="U114" s="318"/>
      <c r="V114" s="318"/>
      <c r="W114" s="318"/>
      <c r="X114" s="318"/>
    </row>
    <row r="115" spans="2:24" ht="24" customHeight="1">
      <c r="B115" s="318"/>
      <c r="C115" s="318"/>
      <c r="D115" s="318"/>
      <c r="E115" s="318"/>
      <c r="F115" s="318"/>
      <c r="G115" s="318"/>
      <c r="H115" s="318"/>
      <c r="I115" s="318"/>
      <c r="J115" s="318"/>
      <c r="K115" s="318"/>
      <c r="L115" s="318"/>
      <c r="M115" s="318"/>
      <c r="N115" s="318"/>
      <c r="O115" s="318"/>
      <c r="P115" s="318"/>
      <c r="Q115" s="318"/>
      <c r="R115" s="318"/>
      <c r="S115" s="318"/>
      <c r="T115" s="318"/>
      <c r="U115" s="318"/>
      <c r="V115" s="318"/>
      <c r="W115" s="318"/>
      <c r="X115" s="318"/>
    </row>
    <row r="116" spans="2:24" ht="24" customHeight="1">
      <c r="B116" s="318"/>
      <c r="C116" s="318"/>
      <c r="D116" s="318"/>
      <c r="E116" s="318"/>
      <c r="F116" s="318"/>
      <c r="G116" s="318"/>
      <c r="H116" s="318"/>
      <c r="I116" s="318"/>
      <c r="J116" s="318"/>
      <c r="K116" s="318"/>
      <c r="L116" s="318"/>
      <c r="M116" s="318"/>
      <c r="N116" s="318"/>
      <c r="O116" s="318"/>
      <c r="P116" s="318"/>
      <c r="Q116" s="318"/>
      <c r="R116" s="318"/>
      <c r="S116" s="318"/>
      <c r="T116" s="318"/>
      <c r="U116" s="318"/>
      <c r="V116" s="318"/>
      <c r="W116" s="318"/>
      <c r="X116" s="318"/>
    </row>
    <row r="117" spans="2:24" ht="24" customHeight="1">
      <c r="B117" s="318"/>
      <c r="C117" s="318"/>
      <c r="D117" s="318"/>
      <c r="E117" s="318"/>
      <c r="F117" s="318"/>
      <c r="G117" s="318"/>
      <c r="H117" s="318"/>
      <c r="I117" s="318"/>
      <c r="J117" s="318"/>
      <c r="K117" s="318"/>
      <c r="L117" s="318"/>
      <c r="M117" s="318"/>
      <c r="N117" s="318"/>
      <c r="O117" s="318"/>
      <c r="P117" s="318"/>
      <c r="Q117" s="318"/>
      <c r="R117" s="318"/>
      <c r="S117" s="318"/>
      <c r="T117" s="318"/>
      <c r="U117" s="318"/>
      <c r="V117" s="318"/>
      <c r="W117" s="318"/>
      <c r="X117" s="318"/>
    </row>
    <row r="118" spans="2:24" ht="24" customHeight="1">
      <c r="B118" s="318"/>
      <c r="C118" s="318"/>
      <c r="D118" s="318"/>
      <c r="E118" s="318"/>
      <c r="F118" s="318"/>
      <c r="G118" s="318"/>
      <c r="H118" s="318"/>
      <c r="I118" s="318"/>
      <c r="J118" s="318"/>
      <c r="K118" s="318"/>
      <c r="L118" s="318"/>
      <c r="M118" s="318"/>
      <c r="N118" s="318"/>
      <c r="O118" s="318"/>
      <c r="P118" s="318"/>
      <c r="Q118" s="318"/>
      <c r="R118" s="318"/>
      <c r="S118" s="318"/>
      <c r="T118" s="318"/>
      <c r="U118" s="318"/>
      <c r="V118" s="318"/>
      <c r="W118" s="318"/>
      <c r="X118" s="318"/>
    </row>
    <row r="119" spans="2:24" ht="24" customHeight="1">
      <c r="B119" s="318"/>
      <c r="C119" s="318"/>
      <c r="D119" s="318"/>
      <c r="E119" s="318"/>
      <c r="F119" s="318"/>
      <c r="G119" s="318"/>
      <c r="H119" s="318"/>
      <c r="I119" s="318"/>
      <c r="J119" s="318"/>
      <c r="K119" s="318"/>
      <c r="L119" s="318"/>
      <c r="M119" s="318"/>
      <c r="N119" s="318"/>
      <c r="O119" s="318"/>
      <c r="P119" s="318"/>
      <c r="Q119" s="318"/>
      <c r="R119" s="318"/>
      <c r="S119" s="318"/>
      <c r="T119" s="318"/>
      <c r="U119" s="318"/>
      <c r="V119" s="318"/>
      <c r="W119" s="318"/>
      <c r="X119" s="318"/>
    </row>
    <row r="120" spans="2:24" ht="24" customHeight="1">
      <c r="B120" s="318"/>
      <c r="C120" s="318"/>
      <c r="D120" s="318"/>
      <c r="E120" s="318"/>
      <c r="F120" s="318"/>
      <c r="G120" s="318"/>
      <c r="H120" s="318"/>
      <c r="I120" s="318"/>
      <c r="J120" s="318"/>
      <c r="K120" s="318"/>
      <c r="L120" s="318"/>
      <c r="M120" s="318"/>
      <c r="N120" s="318"/>
      <c r="O120" s="318"/>
      <c r="P120" s="318"/>
      <c r="Q120" s="318"/>
      <c r="R120" s="318"/>
      <c r="S120" s="318"/>
      <c r="T120" s="318"/>
      <c r="U120" s="318"/>
      <c r="V120" s="318"/>
      <c r="W120" s="318"/>
      <c r="X120" s="318"/>
    </row>
    <row r="121" spans="2:24" ht="24" customHeight="1">
      <c r="B121" s="318"/>
      <c r="C121" s="318"/>
      <c r="D121" s="318"/>
      <c r="E121" s="318"/>
      <c r="F121" s="318"/>
      <c r="G121" s="318"/>
      <c r="H121" s="318"/>
      <c r="I121" s="318"/>
      <c r="J121" s="318"/>
      <c r="K121" s="318"/>
      <c r="L121" s="318"/>
      <c r="M121" s="318"/>
      <c r="N121" s="318"/>
      <c r="O121" s="318"/>
      <c r="P121" s="318"/>
      <c r="Q121" s="318"/>
      <c r="R121" s="318"/>
      <c r="S121" s="318"/>
      <c r="T121" s="318"/>
      <c r="U121" s="318"/>
      <c r="V121" s="318"/>
      <c r="W121" s="318"/>
      <c r="X121" s="318"/>
    </row>
    <row r="122" spans="2:24" ht="24" customHeight="1">
      <c r="B122" s="318"/>
      <c r="C122" s="318"/>
      <c r="D122" s="318"/>
      <c r="E122" s="318"/>
      <c r="F122" s="318"/>
      <c r="G122" s="318"/>
      <c r="H122" s="318"/>
      <c r="I122" s="318"/>
      <c r="J122" s="318"/>
      <c r="K122" s="318"/>
      <c r="L122" s="318"/>
      <c r="M122" s="318"/>
      <c r="N122" s="318"/>
      <c r="O122" s="318"/>
      <c r="P122" s="318"/>
      <c r="Q122" s="318"/>
      <c r="R122" s="318"/>
      <c r="S122" s="318"/>
      <c r="T122" s="318"/>
      <c r="U122" s="318"/>
      <c r="V122" s="318"/>
      <c r="W122" s="318"/>
      <c r="X122" s="318"/>
    </row>
    <row r="123" spans="2:24" ht="24" customHeight="1">
      <c r="B123" s="318"/>
      <c r="C123" s="318"/>
      <c r="D123" s="318"/>
      <c r="E123" s="318"/>
      <c r="F123" s="318"/>
      <c r="G123" s="318"/>
      <c r="H123" s="318"/>
      <c r="I123" s="318"/>
      <c r="J123" s="318"/>
      <c r="K123" s="318"/>
      <c r="L123" s="318"/>
      <c r="M123" s="318"/>
      <c r="N123" s="318"/>
      <c r="O123" s="318"/>
      <c r="P123" s="318"/>
      <c r="Q123" s="318"/>
      <c r="R123" s="318"/>
      <c r="S123" s="318"/>
      <c r="T123" s="318"/>
      <c r="U123" s="318"/>
      <c r="V123" s="318"/>
      <c r="W123" s="318"/>
      <c r="X123" s="318"/>
    </row>
    <row r="124" spans="2:24" ht="24" customHeight="1">
      <c r="B124" s="318"/>
      <c r="C124" s="318"/>
      <c r="D124" s="318"/>
      <c r="E124" s="318"/>
      <c r="F124" s="318"/>
      <c r="G124" s="318"/>
      <c r="H124" s="318"/>
      <c r="I124" s="318"/>
      <c r="J124" s="318"/>
      <c r="K124" s="318"/>
      <c r="L124" s="318"/>
      <c r="M124" s="318"/>
      <c r="N124" s="318"/>
      <c r="O124" s="318"/>
      <c r="P124" s="318"/>
      <c r="Q124" s="318"/>
      <c r="R124" s="318"/>
      <c r="S124" s="318"/>
      <c r="T124" s="318"/>
      <c r="U124" s="318"/>
      <c r="V124" s="318"/>
      <c r="W124" s="318"/>
      <c r="X124" s="318"/>
    </row>
    <row r="125" spans="2:24" ht="24" customHeight="1">
      <c r="B125" s="318"/>
      <c r="C125" s="318"/>
      <c r="D125" s="318"/>
      <c r="E125" s="318"/>
      <c r="F125" s="318"/>
      <c r="G125" s="318"/>
      <c r="H125" s="318"/>
      <c r="I125" s="318"/>
      <c r="J125" s="318"/>
      <c r="K125" s="318"/>
      <c r="L125" s="318"/>
      <c r="M125" s="318"/>
      <c r="N125" s="318"/>
      <c r="O125" s="318"/>
      <c r="P125" s="318"/>
      <c r="Q125" s="318"/>
      <c r="R125" s="318"/>
      <c r="S125" s="318"/>
      <c r="T125" s="318"/>
      <c r="U125" s="318"/>
      <c r="V125" s="318"/>
      <c r="W125" s="318"/>
      <c r="X125" s="318"/>
    </row>
    <row r="126" spans="2:24" ht="24" customHeight="1">
      <c r="B126" s="318"/>
      <c r="C126" s="318"/>
      <c r="D126" s="318"/>
      <c r="E126" s="318"/>
      <c r="F126" s="318"/>
      <c r="G126" s="318"/>
      <c r="H126" s="318"/>
      <c r="I126" s="318"/>
      <c r="J126" s="318"/>
      <c r="K126" s="318"/>
      <c r="L126" s="318"/>
      <c r="M126" s="318"/>
      <c r="N126" s="318"/>
      <c r="O126" s="318"/>
      <c r="P126" s="318"/>
      <c r="Q126" s="318"/>
      <c r="R126" s="318"/>
      <c r="S126" s="318"/>
      <c r="T126" s="318"/>
      <c r="U126" s="318"/>
      <c r="V126" s="318"/>
      <c r="W126" s="318"/>
      <c r="X126" s="318"/>
    </row>
    <row r="127" spans="2:24" ht="24" customHeight="1">
      <c r="B127" s="318"/>
      <c r="C127" s="318"/>
      <c r="D127" s="318"/>
      <c r="E127" s="318"/>
      <c r="F127" s="318"/>
      <c r="G127" s="318"/>
      <c r="H127" s="318"/>
      <c r="I127" s="318"/>
      <c r="J127" s="318"/>
      <c r="K127" s="318"/>
      <c r="L127" s="318"/>
      <c r="M127" s="318"/>
      <c r="N127" s="318"/>
      <c r="O127" s="318"/>
      <c r="P127" s="318"/>
      <c r="Q127" s="318"/>
      <c r="R127" s="318"/>
      <c r="S127" s="318"/>
      <c r="T127" s="318"/>
      <c r="U127" s="318"/>
      <c r="V127" s="318"/>
      <c r="W127" s="318"/>
      <c r="X127" s="318"/>
    </row>
    <row r="128" spans="2:24" ht="24" customHeight="1">
      <c r="B128" s="318"/>
      <c r="C128" s="318"/>
      <c r="D128" s="318"/>
      <c r="E128" s="318"/>
      <c r="F128" s="318"/>
      <c r="G128" s="318"/>
      <c r="H128" s="318"/>
      <c r="I128" s="318"/>
      <c r="J128" s="318"/>
      <c r="K128" s="318"/>
      <c r="L128" s="318"/>
      <c r="M128" s="318"/>
      <c r="N128" s="318"/>
      <c r="O128" s="318"/>
      <c r="P128" s="318"/>
      <c r="Q128" s="318"/>
      <c r="R128" s="318"/>
      <c r="S128" s="318"/>
      <c r="T128" s="318"/>
      <c r="U128" s="318"/>
      <c r="V128" s="318"/>
      <c r="W128" s="318"/>
      <c r="X128" s="318"/>
    </row>
    <row r="129" spans="2:24" ht="24" customHeight="1">
      <c r="B129" s="318"/>
      <c r="C129" s="318"/>
      <c r="D129" s="318"/>
      <c r="E129" s="318"/>
      <c r="F129" s="318"/>
      <c r="G129" s="318"/>
      <c r="H129" s="318"/>
      <c r="I129" s="318"/>
      <c r="J129" s="318"/>
      <c r="K129" s="318"/>
      <c r="L129" s="318"/>
      <c r="M129" s="318"/>
      <c r="N129" s="318"/>
      <c r="O129" s="318"/>
      <c r="P129" s="318"/>
      <c r="Q129" s="318"/>
      <c r="R129" s="318"/>
      <c r="S129" s="318"/>
      <c r="T129" s="318"/>
      <c r="U129" s="318"/>
      <c r="V129" s="318"/>
      <c r="W129" s="318"/>
      <c r="X129" s="318"/>
    </row>
    <row r="130" spans="2:24" ht="24" customHeight="1">
      <c r="B130" s="318"/>
      <c r="C130" s="318"/>
      <c r="D130" s="318"/>
      <c r="E130" s="318"/>
      <c r="F130" s="318"/>
      <c r="G130" s="318"/>
      <c r="H130" s="318"/>
      <c r="I130" s="318"/>
      <c r="J130" s="318"/>
      <c r="K130" s="318"/>
      <c r="L130" s="318"/>
      <c r="M130" s="318"/>
      <c r="N130" s="318"/>
      <c r="O130" s="318"/>
      <c r="P130" s="318"/>
      <c r="Q130" s="318"/>
      <c r="R130" s="318"/>
      <c r="S130" s="318"/>
      <c r="T130" s="318"/>
      <c r="U130" s="318"/>
      <c r="V130" s="318"/>
      <c r="W130" s="318"/>
      <c r="X130" s="318"/>
    </row>
    <row r="131" spans="2:24" ht="24" customHeight="1">
      <c r="B131" s="318"/>
      <c r="C131" s="318"/>
      <c r="D131" s="318"/>
      <c r="E131" s="318"/>
      <c r="F131" s="318"/>
      <c r="G131" s="318"/>
      <c r="H131" s="318"/>
      <c r="I131" s="318"/>
      <c r="J131" s="318"/>
      <c r="K131" s="318"/>
      <c r="L131" s="318"/>
      <c r="M131" s="318"/>
      <c r="N131" s="318"/>
      <c r="O131" s="318"/>
      <c r="P131" s="318"/>
      <c r="Q131" s="318"/>
      <c r="R131" s="318"/>
      <c r="S131" s="318"/>
      <c r="T131" s="318"/>
      <c r="U131" s="318"/>
      <c r="V131" s="318"/>
      <c r="W131" s="318"/>
      <c r="X131" s="318"/>
    </row>
    <row r="132" spans="2:24" ht="24" customHeight="1">
      <c r="B132" s="318"/>
      <c r="C132" s="318"/>
      <c r="D132" s="318"/>
      <c r="E132" s="318"/>
      <c r="F132" s="318"/>
      <c r="G132" s="318"/>
      <c r="H132" s="318"/>
      <c r="I132" s="318"/>
      <c r="J132" s="318"/>
      <c r="K132" s="318"/>
      <c r="L132" s="318"/>
      <c r="M132" s="318"/>
      <c r="N132" s="318"/>
      <c r="O132" s="318"/>
      <c r="P132" s="318"/>
      <c r="Q132" s="318"/>
      <c r="R132" s="318"/>
      <c r="S132" s="318"/>
      <c r="T132" s="318"/>
      <c r="U132" s="318"/>
      <c r="V132" s="318"/>
      <c r="W132" s="318"/>
      <c r="X132" s="318"/>
    </row>
    <row r="133" spans="2:24" ht="24" customHeight="1">
      <c r="B133" s="318"/>
      <c r="C133" s="318"/>
      <c r="D133" s="318"/>
      <c r="E133" s="318"/>
      <c r="F133" s="318"/>
      <c r="G133" s="318"/>
      <c r="H133" s="318"/>
      <c r="I133" s="318"/>
      <c r="J133" s="318"/>
      <c r="K133" s="318"/>
      <c r="L133" s="318"/>
      <c r="M133" s="318"/>
      <c r="N133" s="318"/>
      <c r="O133" s="318"/>
      <c r="P133" s="318"/>
      <c r="Q133" s="318"/>
      <c r="R133" s="318"/>
      <c r="S133" s="318"/>
      <c r="T133" s="318"/>
      <c r="U133" s="318"/>
      <c r="V133" s="318"/>
      <c r="W133" s="318"/>
      <c r="X133" s="318"/>
    </row>
    <row r="134" spans="2:24" ht="24" customHeight="1">
      <c r="B134" s="318"/>
      <c r="C134" s="318"/>
      <c r="D134" s="318"/>
      <c r="E134" s="318"/>
      <c r="F134" s="318"/>
      <c r="G134" s="318"/>
      <c r="H134" s="318"/>
      <c r="I134" s="318"/>
      <c r="J134" s="318"/>
      <c r="K134" s="318"/>
      <c r="L134" s="318"/>
      <c r="M134" s="318"/>
      <c r="N134" s="318"/>
      <c r="O134" s="318"/>
      <c r="P134" s="318"/>
      <c r="Q134" s="318"/>
      <c r="R134" s="318"/>
      <c r="S134" s="318"/>
      <c r="T134" s="318"/>
      <c r="U134" s="318"/>
      <c r="V134" s="318"/>
      <c r="W134" s="318"/>
      <c r="X134" s="318"/>
    </row>
    <row r="135" spans="2:24" ht="24" customHeight="1">
      <c r="B135" s="318"/>
      <c r="C135" s="318"/>
      <c r="D135" s="318"/>
      <c r="E135" s="318"/>
      <c r="F135" s="318"/>
      <c r="G135" s="318"/>
      <c r="H135" s="318"/>
      <c r="I135" s="318"/>
      <c r="J135" s="318"/>
      <c r="K135" s="318"/>
      <c r="L135" s="318"/>
      <c r="M135" s="318"/>
      <c r="N135" s="318"/>
      <c r="O135" s="318"/>
      <c r="P135" s="318"/>
      <c r="Q135" s="318"/>
      <c r="R135" s="318"/>
      <c r="S135" s="318"/>
      <c r="T135" s="318"/>
      <c r="U135" s="318"/>
      <c r="V135" s="318"/>
      <c r="W135" s="318"/>
      <c r="X135" s="318"/>
    </row>
    <row r="136" spans="2:24" ht="24" customHeight="1">
      <c r="B136" s="318"/>
      <c r="C136" s="318"/>
      <c r="D136" s="318"/>
      <c r="E136" s="318"/>
      <c r="F136" s="318"/>
      <c r="G136" s="318"/>
      <c r="H136" s="318"/>
      <c r="I136" s="318"/>
      <c r="J136" s="318"/>
      <c r="K136" s="318"/>
      <c r="L136" s="318"/>
      <c r="M136" s="318"/>
      <c r="N136" s="318"/>
      <c r="O136" s="318"/>
      <c r="P136" s="318"/>
      <c r="Q136" s="318"/>
      <c r="R136" s="318"/>
      <c r="S136" s="318"/>
      <c r="T136" s="318"/>
      <c r="U136" s="318"/>
      <c r="V136" s="318"/>
      <c r="W136" s="318"/>
      <c r="X136" s="318"/>
    </row>
    <row r="137" spans="2:24" ht="24" customHeight="1">
      <c r="B137" s="318"/>
      <c r="C137" s="318"/>
      <c r="D137" s="318"/>
      <c r="E137" s="318"/>
      <c r="F137" s="318"/>
      <c r="G137" s="318"/>
      <c r="H137" s="318"/>
      <c r="I137" s="318"/>
      <c r="J137" s="318"/>
      <c r="K137" s="318"/>
      <c r="L137" s="318"/>
      <c r="M137" s="318"/>
      <c r="N137" s="318"/>
      <c r="O137" s="318"/>
      <c r="P137" s="318"/>
      <c r="Q137" s="318"/>
      <c r="R137" s="318"/>
      <c r="S137" s="318"/>
      <c r="T137" s="318"/>
      <c r="U137" s="318"/>
      <c r="V137" s="318"/>
      <c r="W137" s="318"/>
      <c r="X137" s="318"/>
    </row>
    <row r="138" spans="2:24" ht="24" customHeight="1">
      <c r="B138" s="318"/>
      <c r="C138" s="318"/>
      <c r="D138" s="318"/>
      <c r="E138" s="318"/>
      <c r="F138" s="318"/>
      <c r="G138" s="318"/>
      <c r="H138" s="318"/>
      <c r="I138" s="318"/>
      <c r="J138" s="318"/>
      <c r="K138" s="318"/>
      <c r="L138" s="318"/>
      <c r="M138" s="318"/>
      <c r="N138" s="318"/>
      <c r="O138" s="318"/>
      <c r="P138" s="318"/>
      <c r="Q138" s="318"/>
      <c r="R138" s="318"/>
      <c r="S138" s="318"/>
      <c r="T138" s="318"/>
      <c r="U138" s="318"/>
      <c r="V138" s="318"/>
      <c r="W138" s="318"/>
      <c r="X138" s="318"/>
    </row>
    <row r="139" spans="2:24" ht="24" customHeight="1">
      <c r="B139" s="318"/>
      <c r="C139" s="318"/>
      <c r="D139" s="318"/>
      <c r="E139" s="318"/>
      <c r="F139" s="318"/>
      <c r="G139" s="318"/>
      <c r="H139" s="318"/>
      <c r="I139" s="318"/>
      <c r="J139" s="318"/>
      <c r="K139" s="318"/>
      <c r="L139" s="318"/>
      <c r="M139" s="318"/>
      <c r="N139" s="318"/>
      <c r="O139" s="318"/>
      <c r="P139" s="318"/>
      <c r="Q139" s="318"/>
      <c r="R139" s="318"/>
      <c r="S139" s="318"/>
      <c r="T139" s="318"/>
      <c r="U139" s="318"/>
      <c r="V139" s="318"/>
      <c r="W139" s="318"/>
      <c r="X139" s="318"/>
    </row>
    <row r="140" spans="2:24" ht="24" customHeight="1">
      <c r="B140" s="318"/>
      <c r="C140" s="318"/>
      <c r="D140" s="318"/>
      <c r="E140" s="318"/>
      <c r="F140" s="318"/>
      <c r="G140" s="318"/>
      <c r="H140" s="318"/>
      <c r="I140" s="318"/>
      <c r="J140" s="318"/>
      <c r="K140" s="318"/>
      <c r="L140" s="318"/>
      <c r="M140" s="318"/>
      <c r="N140" s="318"/>
      <c r="O140" s="318"/>
      <c r="P140" s="318"/>
      <c r="Q140" s="318"/>
      <c r="R140" s="318"/>
      <c r="S140" s="318"/>
      <c r="T140" s="318"/>
      <c r="U140" s="318"/>
      <c r="V140" s="318"/>
      <c r="W140" s="318"/>
      <c r="X140" s="318"/>
    </row>
    <row r="141" spans="2:24" ht="24" customHeight="1">
      <c r="B141" s="318"/>
      <c r="C141" s="318"/>
      <c r="D141" s="318"/>
      <c r="E141" s="318"/>
      <c r="F141" s="318"/>
      <c r="G141" s="318"/>
      <c r="H141" s="318"/>
      <c r="I141" s="318"/>
      <c r="J141" s="318"/>
      <c r="K141" s="318"/>
      <c r="L141" s="318"/>
      <c r="M141" s="318"/>
      <c r="N141" s="318"/>
      <c r="O141" s="318"/>
      <c r="P141" s="318"/>
      <c r="Q141" s="318"/>
      <c r="R141" s="318"/>
      <c r="S141" s="318"/>
      <c r="T141" s="318"/>
      <c r="U141" s="318"/>
      <c r="V141" s="318"/>
      <c r="W141" s="318"/>
      <c r="X141" s="318"/>
    </row>
    <row r="142" spans="2:24" ht="24" customHeight="1">
      <c r="B142" s="318"/>
      <c r="C142" s="318"/>
      <c r="D142" s="318"/>
      <c r="E142" s="318"/>
      <c r="F142" s="318"/>
      <c r="G142" s="318"/>
      <c r="H142" s="318"/>
      <c r="I142" s="318"/>
      <c r="J142" s="318"/>
      <c r="K142" s="318"/>
      <c r="L142" s="318"/>
      <c r="M142" s="318"/>
      <c r="N142" s="318"/>
      <c r="O142" s="318"/>
      <c r="P142" s="318"/>
      <c r="Q142" s="318"/>
      <c r="R142" s="318"/>
      <c r="S142" s="318"/>
      <c r="T142" s="318"/>
      <c r="U142" s="318"/>
      <c r="V142" s="318"/>
      <c r="W142" s="318"/>
      <c r="X142" s="318"/>
    </row>
    <row r="143" spans="2:24" ht="24" customHeight="1">
      <c r="B143" s="318"/>
      <c r="C143" s="318"/>
      <c r="D143" s="318"/>
      <c r="E143" s="318"/>
      <c r="F143" s="318"/>
      <c r="G143" s="318"/>
      <c r="H143" s="318"/>
      <c r="I143" s="318"/>
      <c r="J143" s="318"/>
      <c r="K143" s="318"/>
      <c r="L143" s="318"/>
      <c r="M143" s="318"/>
      <c r="N143" s="318"/>
      <c r="O143" s="318"/>
      <c r="P143" s="318"/>
      <c r="Q143" s="318"/>
      <c r="R143" s="318"/>
      <c r="S143" s="318"/>
      <c r="T143" s="318"/>
      <c r="U143" s="318"/>
      <c r="V143" s="318"/>
      <c r="W143" s="318"/>
      <c r="X143" s="318"/>
    </row>
    <row r="144" spans="2:24" ht="24" customHeight="1">
      <c r="B144" s="318"/>
      <c r="C144" s="318"/>
      <c r="D144" s="318"/>
      <c r="E144" s="318"/>
      <c r="F144" s="318"/>
      <c r="G144" s="318"/>
      <c r="H144" s="318"/>
      <c r="I144" s="318"/>
      <c r="J144" s="318"/>
      <c r="K144" s="318"/>
      <c r="L144" s="318"/>
      <c r="M144" s="318"/>
      <c r="N144" s="318"/>
      <c r="O144" s="318"/>
      <c r="P144" s="318"/>
      <c r="Q144" s="318"/>
      <c r="R144" s="318"/>
      <c r="S144" s="318"/>
      <c r="T144" s="318"/>
      <c r="U144" s="318"/>
      <c r="V144" s="318"/>
      <c r="W144" s="318"/>
      <c r="X144" s="318"/>
    </row>
    <row r="145" spans="2:24" ht="24" customHeight="1">
      <c r="B145" s="318"/>
      <c r="C145" s="318"/>
      <c r="D145" s="318"/>
      <c r="E145" s="318"/>
      <c r="F145" s="318"/>
      <c r="G145" s="318"/>
      <c r="H145" s="318"/>
      <c r="I145" s="318"/>
      <c r="J145" s="318"/>
      <c r="K145" s="318"/>
      <c r="L145" s="318"/>
      <c r="M145" s="318"/>
      <c r="N145" s="318"/>
      <c r="O145" s="318"/>
      <c r="P145" s="318"/>
      <c r="Q145" s="318"/>
      <c r="R145" s="318"/>
      <c r="S145" s="318"/>
      <c r="T145" s="318"/>
      <c r="U145" s="318"/>
      <c r="V145" s="318"/>
      <c r="W145" s="318"/>
      <c r="X145" s="318"/>
    </row>
    <row r="146" spans="2:24" ht="24" customHeight="1">
      <c r="B146" s="318"/>
      <c r="C146" s="318"/>
      <c r="D146" s="318"/>
      <c r="E146" s="318"/>
      <c r="F146" s="318"/>
      <c r="G146" s="318"/>
      <c r="H146" s="318"/>
      <c r="I146" s="318"/>
      <c r="J146" s="318"/>
      <c r="K146" s="318"/>
      <c r="L146" s="318"/>
      <c r="M146" s="318"/>
      <c r="N146" s="318"/>
      <c r="O146" s="318"/>
      <c r="P146" s="318"/>
      <c r="Q146" s="318"/>
      <c r="R146" s="318"/>
      <c r="S146" s="318"/>
      <c r="T146" s="318"/>
      <c r="U146" s="318"/>
      <c r="V146" s="318"/>
      <c r="W146" s="318"/>
      <c r="X146" s="318"/>
    </row>
    <row r="147" spans="2:24" ht="24" customHeight="1">
      <c r="B147" s="318"/>
      <c r="C147" s="318"/>
      <c r="D147" s="318"/>
      <c r="E147" s="318"/>
      <c r="F147" s="318"/>
      <c r="G147" s="318"/>
      <c r="H147" s="318"/>
      <c r="I147" s="318"/>
      <c r="J147" s="318"/>
      <c r="K147" s="318"/>
      <c r="L147" s="318"/>
      <c r="M147" s="318"/>
      <c r="N147" s="318"/>
      <c r="O147" s="318"/>
      <c r="P147" s="318"/>
      <c r="Q147" s="318"/>
      <c r="R147" s="318"/>
      <c r="S147" s="318"/>
      <c r="T147" s="318"/>
      <c r="U147" s="318"/>
      <c r="V147" s="318"/>
      <c r="W147" s="318"/>
      <c r="X147" s="318"/>
    </row>
    <row r="148" spans="2:24" ht="24" customHeight="1">
      <c r="B148" s="318"/>
      <c r="C148" s="318"/>
      <c r="D148" s="318"/>
      <c r="E148" s="318"/>
      <c r="F148" s="318"/>
      <c r="G148" s="318"/>
      <c r="H148" s="318"/>
      <c r="I148" s="318"/>
      <c r="J148" s="318"/>
      <c r="K148" s="318"/>
      <c r="L148" s="318"/>
      <c r="M148" s="318"/>
      <c r="N148" s="318"/>
      <c r="O148" s="318"/>
      <c r="P148" s="318"/>
      <c r="Q148" s="318"/>
      <c r="R148" s="318"/>
      <c r="S148" s="318"/>
      <c r="T148" s="318"/>
      <c r="U148" s="318"/>
      <c r="V148" s="318"/>
      <c r="W148" s="318"/>
      <c r="X148" s="318"/>
    </row>
    <row r="149" spans="2:24" ht="24" customHeight="1">
      <c r="B149" s="318"/>
      <c r="C149" s="318"/>
      <c r="D149" s="318"/>
      <c r="E149" s="318"/>
      <c r="F149" s="318"/>
      <c r="G149" s="318"/>
      <c r="H149" s="318"/>
      <c r="I149" s="318"/>
      <c r="J149" s="318"/>
      <c r="K149" s="318"/>
      <c r="L149" s="318"/>
      <c r="M149" s="318"/>
      <c r="N149" s="318"/>
      <c r="O149" s="318"/>
      <c r="P149" s="318"/>
      <c r="Q149" s="318"/>
      <c r="R149" s="318"/>
      <c r="S149" s="318"/>
      <c r="T149" s="318"/>
      <c r="U149" s="318"/>
      <c r="V149" s="318"/>
      <c r="W149" s="318"/>
      <c r="X149" s="318"/>
    </row>
    <row r="150" spans="2:24" ht="24" customHeight="1">
      <c r="B150" s="318"/>
      <c r="C150" s="318"/>
      <c r="D150" s="318"/>
      <c r="E150" s="318"/>
      <c r="F150" s="318"/>
      <c r="G150" s="318"/>
      <c r="H150" s="318"/>
      <c r="I150" s="318"/>
      <c r="J150" s="318"/>
      <c r="K150" s="318"/>
      <c r="L150" s="318"/>
      <c r="M150" s="318"/>
      <c r="N150" s="318"/>
      <c r="O150" s="318"/>
      <c r="P150" s="318"/>
      <c r="Q150" s="318"/>
      <c r="R150" s="318"/>
      <c r="S150" s="318"/>
      <c r="T150" s="318"/>
      <c r="U150" s="318"/>
      <c r="V150" s="318"/>
      <c r="W150" s="318"/>
      <c r="X150" s="318"/>
    </row>
    <row r="151" spans="2:24" ht="24" customHeight="1">
      <c r="B151" s="318"/>
      <c r="C151" s="318"/>
      <c r="D151" s="318"/>
      <c r="E151" s="318"/>
      <c r="F151" s="318"/>
      <c r="G151" s="318"/>
      <c r="H151" s="318"/>
      <c r="I151" s="318"/>
      <c r="J151" s="318"/>
      <c r="K151" s="318"/>
      <c r="L151" s="318"/>
      <c r="M151" s="318"/>
      <c r="N151" s="318"/>
      <c r="O151" s="318"/>
      <c r="P151" s="318"/>
      <c r="Q151" s="318"/>
      <c r="R151" s="318"/>
      <c r="S151" s="318"/>
      <c r="T151" s="318"/>
      <c r="U151" s="318"/>
      <c r="V151" s="318"/>
      <c r="W151" s="318"/>
      <c r="X151" s="318"/>
    </row>
    <row r="152" spans="2:24" ht="24" customHeight="1">
      <c r="B152" s="318"/>
      <c r="C152" s="318"/>
      <c r="D152" s="318"/>
      <c r="E152" s="318"/>
      <c r="F152" s="318"/>
      <c r="G152" s="318"/>
      <c r="H152" s="318"/>
      <c r="I152" s="318"/>
      <c r="J152" s="318"/>
      <c r="K152" s="318"/>
      <c r="L152" s="318"/>
      <c r="M152" s="318"/>
      <c r="N152" s="318"/>
      <c r="O152" s="318"/>
      <c r="P152" s="318"/>
      <c r="Q152" s="318"/>
      <c r="R152" s="318"/>
      <c r="S152" s="318"/>
      <c r="T152" s="318"/>
      <c r="U152" s="318"/>
      <c r="V152" s="318"/>
      <c r="W152" s="318"/>
      <c r="X152" s="318"/>
    </row>
    <row r="153" spans="2:24" ht="24" customHeight="1">
      <c r="B153" s="318"/>
      <c r="C153" s="318"/>
      <c r="D153" s="318"/>
      <c r="E153" s="318"/>
      <c r="F153" s="318"/>
      <c r="G153" s="318"/>
      <c r="H153" s="318"/>
      <c r="I153" s="318"/>
      <c r="J153" s="318"/>
      <c r="K153" s="318"/>
      <c r="L153" s="318"/>
      <c r="M153" s="318"/>
      <c r="N153" s="318"/>
      <c r="O153" s="318"/>
      <c r="P153" s="318"/>
      <c r="Q153" s="318"/>
      <c r="R153" s="318"/>
      <c r="S153" s="318"/>
      <c r="T153" s="318"/>
      <c r="U153" s="318"/>
      <c r="V153" s="318"/>
      <c r="W153" s="318"/>
      <c r="X153" s="318"/>
    </row>
    <row r="154" spans="2:24" ht="24" customHeight="1">
      <c r="B154" s="318"/>
      <c r="C154" s="318"/>
      <c r="D154" s="318"/>
      <c r="E154" s="318"/>
      <c r="F154" s="318"/>
      <c r="G154" s="318"/>
      <c r="H154" s="318"/>
      <c r="I154" s="318"/>
      <c r="J154" s="318"/>
      <c r="K154" s="318"/>
      <c r="L154" s="318"/>
      <c r="M154" s="318"/>
      <c r="N154" s="318"/>
      <c r="O154" s="318"/>
      <c r="P154" s="318"/>
      <c r="Q154" s="318"/>
      <c r="R154" s="318"/>
      <c r="S154" s="318"/>
      <c r="T154" s="318"/>
      <c r="U154" s="318"/>
      <c r="V154" s="318"/>
      <c r="W154" s="318"/>
      <c r="X154" s="318"/>
    </row>
    <row r="155" spans="2:24" ht="24" customHeight="1">
      <c r="B155" s="318"/>
      <c r="C155" s="318"/>
      <c r="D155" s="318"/>
      <c r="E155" s="318"/>
      <c r="F155" s="318"/>
      <c r="G155" s="318"/>
      <c r="H155" s="318"/>
      <c r="I155" s="318"/>
      <c r="J155" s="318"/>
      <c r="K155" s="318"/>
      <c r="L155" s="318"/>
      <c r="M155" s="318"/>
      <c r="N155" s="318"/>
      <c r="O155" s="318"/>
      <c r="P155" s="318"/>
      <c r="Q155" s="318"/>
      <c r="R155" s="318"/>
      <c r="S155" s="318"/>
      <c r="T155" s="318"/>
      <c r="U155" s="318"/>
      <c r="V155" s="318"/>
      <c r="W155" s="318"/>
      <c r="X155" s="318"/>
    </row>
    <row r="156" spans="2:24" ht="24" customHeight="1">
      <c r="B156" s="318"/>
      <c r="C156" s="318"/>
      <c r="D156" s="318"/>
      <c r="E156" s="318"/>
      <c r="F156" s="318"/>
      <c r="G156" s="318"/>
      <c r="H156" s="318"/>
      <c r="I156" s="318"/>
      <c r="J156" s="318"/>
      <c r="K156" s="318"/>
      <c r="L156" s="318"/>
      <c r="M156" s="318"/>
      <c r="N156" s="318"/>
      <c r="O156" s="318"/>
      <c r="P156" s="318"/>
      <c r="Q156" s="318"/>
      <c r="R156" s="318"/>
      <c r="S156" s="318"/>
      <c r="T156" s="318"/>
      <c r="U156" s="318"/>
      <c r="V156" s="318"/>
      <c r="W156" s="318"/>
      <c r="X156" s="318"/>
    </row>
    <row r="157" spans="2:24" ht="24" customHeight="1">
      <c r="B157" s="318"/>
      <c r="C157" s="318"/>
      <c r="D157" s="318"/>
      <c r="E157" s="318"/>
      <c r="F157" s="318"/>
      <c r="G157" s="318"/>
      <c r="H157" s="318"/>
      <c r="I157" s="318"/>
      <c r="J157" s="318"/>
      <c r="K157" s="318"/>
      <c r="L157" s="318"/>
      <c r="M157" s="318"/>
      <c r="N157" s="318"/>
      <c r="O157" s="318"/>
      <c r="P157" s="318"/>
      <c r="Q157" s="318"/>
      <c r="R157" s="318"/>
      <c r="S157" s="318"/>
      <c r="T157" s="318"/>
      <c r="U157" s="318"/>
      <c r="V157" s="318"/>
      <c r="W157" s="318"/>
      <c r="X157" s="318"/>
    </row>
    <row r="158" spans="2:24" ht="24" customHeight="1">
      <c r="B158" s="318"/>
      <c r="C158" s="318"/>
      <c r="D158" s="318"/>
      <c r="E158" s="318"/>
      <c r="F158" s="318"/>
      <c r="G158" s="318"/>
      <c r="H158" s="318"/>
      <c r="I158" s="318"/>
      <c r="J158" s="318"/>
      <c r="K158" s="318"/>
      <c r="L158" s="318"/>
      <c r="M158" s="318"/>
      <c r="N158" s="318"/>
      <c r="O158" s="318"/>
      <c r="P158" s="318"/>
      <c r="Q158" s="318"/>
      <c r="R158" s="318"/>
      <c r="S158" s="318"/>
      <c r="T158" s="318"/>
      <c r="U158" s="318"/>
      <c r="V158" s="318"/>
      <c r="W158" s="318"/>
      <c r="X158" s="318"/>
    </row>
    <row r="159" spans="2:24" ht="24" customHeight="1">
      <c r="B159" s="318"/>
      <c r="C159" s="318"/>
      <c r="D159" s="318"/>
      <c r="E159" s="318"/>
      <c r="F159" s="318"/>
      <c r="G159" s="318"/>
      <c r="H159" s="318"/>
      <c r="I159" s="318"/>
      <c r="J159" s="318"/>
      <c r="K159" s="318"/>
      <c r="L159" s="318"/>
      <c r="M159" s="318"/>
      <c r="N159" s="318"/>
      <c r="O159" s="318"/>
      <c r="P159" s="318"/>
      <c r="Q159" s="318"/>
      <c r="R159" s="318"/>
      <c r="S159" s="318"/>
      <c r="T159" s="318"/>
      <c r="U159" s="318"/>
      <c r="V159" s="318"/>
      <c r="W159" s="318"/>
      <c r="X159" s="318"/>
    </row>
    <row r="160" spans="2:24" ht="24" customHeight="1">
      <c r="B160" s="318"/>
      <c r="C160" s="318"/>
      <c r="D160" s="318"/>
      <c r="E160" s="318"/>
      <c r="F160" s="318"/>
      <c r="G160" s="318"/>
      <c r="H160" s="318"/>
      <c r="I160" s="318"/>
      <c r="J160" s="318"/>
      <c r="K160" s="318"/>
      <c r="L160" s="318"/>
      <c r="M160" s="318"/>
      <c r="N160" s="318"/>
      <c r="O160" s="318"/>
      <c r="P160" s="318"/>
      <c r="Q160" s="318"/>
      <c r="R160" s="318"/>
      <c r="S160" s="318"/>
      <c r="T160" s="318"/>
      <c r="U160" s="318"/>
      <c r="V160" s="318"/>
      <c r="W160" s="318"/>
      <c r="X160" s="318"/>
    </row>
    <row r="161" spans="2:24" ht="24" customHeight="1">
      <c r="B161" s="318"/>
      <c r="C161" s="318"/>
      <c r="D161" s="318"/>
      <c r="E161" s="318"/>
      <c r="F161" s="318"/>
      <c r="G161" s="318"/>
      <c r="H161" s="318"/>
      <c r="I161" s="318"/>
      <c r="J161" s="318"/>
      <c r="K161" s="318"/>
      <c r="L161" s="318"/>
      <c r="M161" s="318"/>
      <c r="N161" s="318"/>
      <c r="O161" s="318"/>
      <c r="P161" s="318"/>
      <c r="Q161" s="318"/>
      <c r="R161" s="318"/>
      <c r="S161" s="318"/>
      <c r="T161" s="318"/>
      <c r="U161" s="318"/>
      <c r="V161" s="318"/>
      <c r="W161" s="318"/>
      <c r="X161" s="318"/>
    </row>
    <row r="162" spans="2:24" ht="24" customHeight="1">
      <c r="B162" s="318"/>
      <c r="C162" s="318"/>
      <c r="D162" s="318"/>
      <c r="E162" s="318"/>
      <c r="F162" s="318"/>
      <c r="G162" s="318"/>
      <c r="H162" s="318"/>
      <c r="I162" s="318"/>
      <c r="J162" s="318"/>
      <c r="K162" s="318"/>
      <c r="L162" s="318"/>
      <c r="M162" s="318"/>
      <c r="N162" s="318"/>
      <c r="O162" s="318"/>
      <c r="P162" s="318"/>
      <c r="Q162" s="318"/>
      <c r="R162" s="318"/>
      <c r="S162" s="318"/>
      <c r="T162" s="318"/>
      <c r="U162" s="318"/>
      <c r="V162" s="318"/>
      <c r="W162" s="318"/>
      <c r="X162" s="318"/>
    </row>
    <row r="163" spans="2:24" ht="24" customHeight="1">
      <c r="B163" s="318"/>
      <c r="C163" s="318"/>
      <c r="D163" s="318"/>
      <c r="E163" s="318"/>
      <c r="F163" s="318"/>
      <c r="G163" s="318"/>
      <c r="H163" s="318"/>
      <c r="I163" s="318"/>
      <c r="J163" s="318"/>
      <c r="K163" s="318"/>
      <c r="L163" s="318"/>
      <c r="M163" s="318"/>
      <c r="N163" s="318"/>
      <c r="O163" s="318"/>
      <c r="P163" s="318"/>
      <c r="Q163" s="318"/>
      <c r="R163" s="318"/>
      <c r="S163" s="318"/>
      <c r="T163" s="318"/>
      <c r="U163" s="318"/>
      <c r="V163" s="318"/>
      <c r="W163" s="318"/>
      <c r="X163" s="318"/>
    </row>
    <row r="164" spans="2:24" ht="24" customHeight="1">
      <c r="B164" s="318"/>
      <c r="C164" s="318"/>
      <c r="D164" s="318"/>
      <c r="E164" s="318"/>
      <c r="F164" s="318"/>
      <c r="G164" s="318"/>
      <c r="H164" s="318"/>
      <c r="I164" s="318"/>
      <c r="J164" s="318"/>
      <c r="K164" s="318"/>
      <c r="L164" s="318"/>
      <c r="M164" s="318"/>
      <c r="N164" s="318"/>
      <c r="O164" s="318"/>
      <c r="P164" s="318"/>
      <c r="Q164" s="318"/>
      <c r="R164" s="318"/>
      <c r="S164" s="318"/>
      <c r="T164" s="318"/>
      <c r="U164" s="318"/>
      <c r="V164" s="318"/>
      <c r="W164" s="318"/>
      <c r="X164" s="318"/>
    </row>
    <row r="165" spans="2:24" ht="24" customHeight="1">
      <c r="B165" s="318"/>
      <c r="C165" s="318"/>
      <c r="D165" s="318"/>
      <c r="E165" s="318"/>
      <c r="F165" s="318"/>
      <c r="G165" s="318"/>
      <c r="H165" s="318"/>
      <c r="I165" s="318"/>
      <c r="J165" s="318"/>
      <c r="K165" s="318"/>
      <c r="L165" s="318"/>
      <c r="M165" s="318"/>
      <c r="N165" s="318"/>
      <c r="O165" s="318"/>
      <c r="P165" s="318"/>
      <c r="Q165" s="318"/>
      <c r="R165" s="318"/>
      <c r="S165" s="318"/>
      <c r="T165" s="318"/>
      <c r="U165" s="318"/>
      <c r="V165" s="318"/>
      <c r="W165" s="318"/>
      <c r="X165" s="318"/>
    </row>
    <row r="166" spans="2:24" ht="24" customHeight="1">
      <c r="B166" s="318"/>
      <c r="C166" s="318"/>
      <c r="D166" s="318"/>
      <c r="E166" s="318"/>
      <c r="F166" s="318"/>
      <c r="G166" s="318"/>
      <c r="H166" s="318"/>
      <c r="I166" s="318"/>
      <c r="J166" s="318"/>
      <c r="K166" s="318"/>
      <c r="L166" s="318"/>
      <c r="M166" s="318"/>
      <c r="N166" s="318"/>
      <c r="O166" s="318"/>
      <c r="P166" s="318"/>
      <c r="Q166" s="318"/>
      <c r="R166" s="318"/>
      <c r="S166" s="318"/>
      <c r="T166" s="318"/>
      <c r="U166" s="318"/>
      <c r="V166" s="318"/>
      <c r="W166" s="318"/>
      <c r="X166" s="318"/>
    </row>
    <row r="167" spans="2:24" ht="24" customHeight="1">
      <c r="B167" s="318"/>
      <c r="C167" s="318"/>
      <c r="D167" s="318"/>
      <c r="E167" s="318"/>
      <c r="F167" s="318"/>
      <c r="G167" s="318"/>
      <c r="H167" s="318"/>
      <c r="I167" s="318"/>
      <c r="J167" s="318"/>
      <c r="K167" s="318"/>
      <c r="L167" s="318"/>
      <c r="M167" s="318"/>
      <c r="N167" s="318"/>
      <c r="O167" s="318"/>
      <c r="P167" s="318"/>
      <c r="Q167" s="318"/>
      <c r="R167" s="318"/>
      <c r="S167" s="318"/>
      <c r="T167" s="318"/>
      <c r="U167" s="318"/>
      <c r="V167" s="318"/>
      <c r="W167" s="318"/>
      <c r="X167" s="318"/>
    </row>
    <row r="168" spans="2:24" ht="24" customHeight="1">
      <c r="B168" s="318"/>
      <c r="C168" s="318"/>
      <c r="D168" s="318"/>
      <c r="E168" s="318"/>
      <c r="F168" s="318"/>
      <c r="G168" s="318"/>
      <c r="H168" s="318"/>
      <c r="I168" s="318"/>
      <c r="J168" s="318"/>
      <c r="K168" s="318"/>
      <c r="L168" s="318"/>
      <c r="M168" s="318"/>
      <c r="N168" s="318"/>
      <c r="O168" s="318"/>
      <c r="P168" s="318"/>
      <c r="Q168" s="318"/>
      <c r="R168" s="318"/>
      <c r="S168" s="318"/>
      <c r="T168" s="318"/>
      <c r="U168" s="318"/>
      <c r="V168" s="318"/>
      <c r="W168" s="318"/>
      <c r="X168" s="318"/>
    </row>
    <row r="169" spans="2:24" ht="24" customHeight="1">
      <c r="B169" s="318"/>
      <c r="C169" s="318"/>
      <c r="D169" s="318"/>
      <c r="E169" s="318"/>
      <c r="F169" s="318"/>
      <c r="G169" s="318"/>
      <c r="H169" s="318"/>
      <c r="I169" s="318"/>
      <c r="J169" s="318"/>
      <c r="K169" s="318"/>
      <c r="L169" s="318"/>
      <c r="M169" s="318"/>
      <c r="N169" s="318"/>
      <c r="O169" s="318"/>
      <c r="P169" s="318"/>
      <c r="Q169" s="318"/>
      <c r="R169" s="318"/>
      <c r="S169" s="318"/>
      <c r="T169" s="318"/>
      <c r="U169" s="318"/>
      <c r="V169" s="318"/>
      <c r="W169" s="318"/>
      <c r="X169" s="318"/>
    </row>
    <row r="170" spans="2:24" ht="24" customHeight="1">
      <c r="B170" s="318"/>
      <c r="C170" s="318"/>
      <c r="D170" s="318"/>
      <c r="E170" s="318"/>
      <c r="F170" s="318"/>
      <c r="G170" s="318"/>
      <c r="H170" s="318"/>
      <c r="I170" s="318"/>
      <c r="J170" s="318"/>
      <c r="K170" s="318"/>
      <c r="L170" s="318"/>
      <c r="M170" s="318"/>
      <c r="N170" s="318"/>
      <c r="O170" s="318"/>
      <c r="P170" s="318"/>
      <c r="Q170" s="318"/>
      <c r="R170" s="318"/>
      <c r="S170" s="318"/>
      <c r="T170" s="318"/>
      <c r="U170" s="318"/>
      <c r="V170" s="318"/>
      <c r="W170" s="318"/>
      <c r="X170" s="318"/>
    </row>
    <row r="171" spans="2:24" ht="24" customHeight="1">
      <c r="B171" s="318"/>
      <c r="C171" s="318"/>
      <c r="D171" s="318"/>
      <c r="E171" s="318"/>
      <c r="F171" s="318"/>
      <c r="G171" s="318"/>
      <c r="H171" s="318"/>
      <c r="I171" s="318"/>
      <c r="J171" s="318"/>
      <c r="K171" s="318"/>
      <c r="L171" s="318"/>
      <c r="M171" s="318"/>
      <c r="N171" s="318"/>
      <c r="O171" s="318"/>
      <c r="P171" s="318"/>
      <c r="Q171" s="318"/>
      <c r="R171" s="318"/>
      <c r="S171" s="318"/>
      <c r="T171" s="318"/>
      <c r="U171" s="318"/>
      <c r="V171" s="318"/>
      <c r="W171" s="318"/>
      <c r="X171" s="318"/>
    </row>
    <row r="172" spans="2:24" ht="24" customHeight="1">
      <c r="B172" s="318"/>
      <c r="C172" s="318"/>
      <c r="D172" s="318"/>
      <c r="E172" s="318"/>
      <c r="F172" s="318"/>
      <c r="G172" s="318"/>
      <c r="H172" s="318"/>
      <c r="I172" s="318"/>
      <c r="J172" s="318"/>
      <c r="K172" s="318"/>
      <c r="L172" s="318"/>
      <c r="M172" s="318"/>
      <c r="N172" s="318"/>
      <c r="O172" s="318"/>
      <c r="P172" s="318"/>
      <c r="Q172" s="318"/>
      <c r="R172" s="318"/>
      <c r="S172" s="318"/>
      <c r="T172" s="318"/>
      <c r="U172" s="318"/>
      <c r="V172" s="318"/>
      <c r="W172" s="318"/>
      <c r="X172" s="318"/>
    </row>
    <row r="173" spans="2:24" ht="24" customHeight="1">
      <c r="B173" s="318"/>
      <c r="C173" s="318"/>
      <c r="D173" s="318"/>
      <c r="E173" s="318"/>
      <c r="F173" s="318"/>
      <c r="G173" s="318"/>
      <c r="H173" s="318"/>
      <c r="I173" s="318"/>
      <c r="J173" s="318"/>
      <c r="K173" s="318"/>
      <c r="L173" s="318"/>
      <c r="M173" s="318"/>
      <c r="N173" s="318"/>
      <c r="O173" s="318"/>
      <c r="P173" s="318"/>
      <c r="Q173" s="318"/>
      <c r="R173" s="318"/>
      <c r="S173" s="318"/>
      <c r="T173" s="318"/>
      <c r="U173" s="318"/>
      <c r="V173" s="318"/>
      <c r="W173" s="318"/>
      <c r="X173" s="318"/>
    </row>
    <row r="174" spans="2:24" ht="24" customHeight="1">
      <c r="B174" s="318"/>
      <c r="C174" s="318"/>
      <c r="D174" s="318"/>
      <c r="E174" s="318"/>
      <c r="F174" s="318"/>
      <c r="G174" s="318"/>
      <c r="H174" s="318"/>
      <c r="I174" s="318"/>
      <c r="J174" s="318"/>
      <c r="K174" s="318"/>
      <c r="L174" s="318"/>
      <c r="M174" s="318"/>
      <c r="N174" s="318"/>
      <c r="O174" s="318"/>
      <c r="P174" s="318"/>
      <c r="Q174" s="318"/>
      <c r="R174" s="318"/>
      <c r="S174" s="318"/>
      <c r="T174" s="318"/>
      <c r="U174" s="318"/>
      <c r="V174" s="318"/>
      <c r="W174" s="318"/>
      <c r="X174" s="318"/>
    </row>
    <row r="175" spans="2:24" ht="24" customHeight="1">
      <c r="B175" s="318"/>
      <c r="C175" s="318"/>
      <c r="D175" s="318"/>
      <c r="E175" s="318"/>
      <c r="F175" s="318"/>
      <c r="G175" s="318"/>
      <c r="H175" s="318"/>
      <c r="I175" s="318"/>
      <c r="J175" s="318"/>
      <c r="K175" s="318"/>
      <c r="L175" s="318"/>
      <c r="M175" s="318"/>
      <c r="N175" s="318"/>
      <c r="O175" s="318"/>
      <c r="P175" s="318"/>
      <c r="Q175" s="318"/>
      <c r="R175" s="318"/>
      <c r="S175" s="318"/>
      <c r="T175" s="318"/>
      <c r="U175" s="318"/>
      <c r="V175" s="318"/>
      <c r="W175" s="318"/>
      <c r="X175" s="318"/>
    </row>
    <row r="176" spans="2:24" ht="24" customHeight="1">
      <c r="B176" s="318"/>
      <c r="C176" s="318"/>
      <c r="D176" s="318"/>
      <c r="E176" s="318"/>
      <c r="F176" s="318"/>
      <c r="G176" s="318"/>
      <c r="H176" s="318"/>
      <c r="I176" s="318"/>
      <c r="J176" s="318"/>
      <c r="K176" s="318"/>
      <c r="L176" s="318"/>
      <c r="M176" s="318"/>
      <c r="N176" s="318"/>
      <c r="O176" s="318"/>
      <c r="P176" s="318"/>
      <c r="Q176" s="318"/>
      <c r="R176" s="318"/>
      <c r="S176" s="318"/>
      <c r="T176" s="318"/>
      <c r="U176" s="318"/>
      <c r="V176" s="318"/>
      <c r="W176" s="318"/>
      <c r="X176" s="318"/>
    </row>
    <row r="177" spans="2:24" ht="24" customHeight="1">
      <c r="B177" s="318"/>
      <c r="C177" s="318"/>
      <c r="D177" s="318"/>
      <c r="E177" s="318"/>
      <c r="F177" s="318"/>
      <c r="G177" s="318"/>
      <c r="H177" s="318"/>
      <c r="I177" s="318"/>
      <c r="J177" s="318"/>
      <c r="K177" s="318"/>
      <c r="L177" s="318"/>
      <c r="M177" s="318"/>
      <c r="N177" s="318"/>
      <c r="O177" s="318"/>
      <c r="P177" s="318"/>
      <c r="Q177" s="318"/>
      <c r="R177" s="318"/>
      <c r="S177" s="318"/>
      <c r="T177" s="318"/>
      <c r="U177" s="318"/>
      <c r="V177" s="318"/>
      <c r="W177" s="318"/>
      <c r="X177" s="318"/>
    </row>
    <row r="178" spans="2:24" ht="24" customHeight="1">
      <c r="B178" s="318"/>
      <c r="C178" s="318"/>
      <c r="D178" s="318"/>
      <c r="E178" s="318"/>
      <c r="F178" s="318"/>
      <c r="G178" s="318"/>
      <c r="H178" s="318"/>
      <c r="I178" s="318"/>
      <c r="J178" s="318"/>
      <c r="K178" s="318"/>
      <c r="L178" s="318"/>
      <c r="M178" s="318"/>
      <c r="N178" s="318"/>
      <c r="O178" s="318"/>
      <c r="P178" s="318"/>
      <c r="Q178" s="318"/>
      <c r="R178" s="318"/>
      <c r="S178" s="318"/>
      <c r="T178" s="318"/>
      <c r="U178" s="318"/>
      <c r="V178" s="318"/>
      <c r="W178" s="318"/>
      <c r="X178" s="318"/>
    </row>
    <row r="179" spans="2:24" ht="24" customHeight="1">
      <c r="B179" s="318"/>
      <c r="C179" s="318"/>
      <c r="D179" s="318"/>
      <c r="E179" s="318"/>
      <c r="F179" s="318"/>
      <c r="G179" s="318"/>
      <c r="H179" s="318"/>
      <c r="I179" s="318"/>
      <c r="J179" s="318"/>
      <c r="K179" s="318"/>
      <c r="L179" s="318"/>
      <c r="M179" s="318"/>
      <c r="N179" s="318"/>
      <c r="O179" s="318"/>
      <c r="P179" s="318"/>
      <c r="Q179" s="318"/>
      <c r="R179" s="318"/>
      <c r="S179" s="318"/>
      <c r="T179" s="318"/>
      <c r="U179" s="318"/>
      <c r="V179" s="318"/>
      <c r="W179" s="318"/>
      <c r="X179" s="318"/>
    </row>
    <row r="180" spans="2:24" ht="24" customHeight="1">
      <c r="B180" s="318"/>
      <c r="C180" s="318"/>
      <c r="D180" s="318"/>
      <c r="E180" s="318"/>
      <c r="F180" s="318"/>
      <c r="G180" s="318"/>
      <c r="H180" s="318"/>
      <c r="I180" s="318"/>
      <c r="J180" s="318"/>
      <c r="K180" s="318"/>
      <c r="L180" s="318"/>
      <c r="M180" s="318"/>
      <c r="N180" s="318"/>
      <c r="O180" s="318"/>
      <c r="P180" s="318"/>
      <c r="Q180" s="318"/>
      <c r="R180" s="318"/>
      <c r="S180" s="318"/>
      <c r="T180" s="318"/>
      <c r="U180" s="318"/>
      <c r="V180" s="318"/>
      <c r="W180" s="318"/>
      <c r="X180" s="318"/>
    </row>
    <row r="181" spans="2:24" ht="24" customHeight="1">
      <c r="B181" s="318"/>
      <c r="C181" s="318"/>
      <c r="D181" s="318"/>
      <c r="E181" s="318"/>
      <c r="F181" s="318"/>
      <c r="G181" s="318"/>
      <c r="H181" s="318"/>
      <c r="I181" s="318"/>
      <c r="J181" s="318"/>
      <c r="K181" s="318"/>
      <c r="L181" s="318"/>
      <c r="M181" s="318"/>
      <c r="N181" s="318"/>
      <c r="O181" s="318"/>
      <c r="P181" s="318"/>
      <c r="Q181" s="318"/>
      <c r="R181" s="318"/>
      <c r="S181" s="318"/>
      <c r="T181" s="318"/>
      <c r="U181" s="318"/>
      <c r="V181" s="318"/>
      <c r="W181" s="318"/>
      <c r="X181" s="318"/>
    </row>
    <row r="182" spans="2:24" ht="24" customHeight="1">
      <c r="B182" s="318"/>
      <c r="C182" s="318"/>
      <c r="D182" s="318"/>
      <c r="E182" s="318"/>
      <c r="F182" s="318"/>
      <c r="G182" s="318"/>
      <c r="H182" s="318"/>
      <c r="I182" s="318"/>
      <c r="J182" s="318"/>
      <c r="K182" s="318"/>
      <c r="L182" s="318"/>
      <c r="M182" s="318"/>
      <c r="N182" s="318"/>
      <c r="O182" s="318"/>
      <c r="P182" s="318"/>
      <c r="Q182" s="318"/>
      <c r="R182" s="318"/>
      <c r="S182" s="318"/>
      <c r="T182" s="318"/>
      <c r="U182" s="318"/>
      <c r="V182" s="318"/>
      <c r="W182" s="318"/>
      <c r="X182" s="318"/>
    </row>
    <row r="183" spans="2:24" ht="24" customHeight="1">
      <c r="B183" s="318"/>
      <c r="C183" s="318"/>
      <c r="D183" s="318"/>
      <c r="E183" s="318"/>
      <c r="F183" s="318"/>
      <c r="G183" s="318"/>
      <c r="H183" s="318"/>
      <c r="I183" s="318"/>
      <c r="J183" s="318"/>
      <c r="K183" s="318"/>
      <c r="L183" s="318"/>
      <c r="M183" s="318"/>
      <c r="N183" s="318"/>
      <c r="O183" s="318"/>
      <c r="P183" s="318"/>
      <c r="Q183" s="318"/>
      <c r="R183" s="318"/>
      <c r="S183" s="318"/>
      <c r="T183" s="318"/>
      <c r="U183" s="318"/>
      <c r="V183" s="318"/>
      <c r="W183" s="318"/>
      <c r="X183" s="318"/>
    </row>
    <row r="184" spans="2:24" ht="24" customHeight="1">
      <c r="B184" s="318"/>
      <c r="C184" s="318"/>
      <c r="D184" s="318"/>
      <c r="E184" s="318"/>
      <c r="F184" s="318"/>
      <c r="G184" s="318"/>
      <c r="H184" s="318"/>
      <c r="I184" s="318"/>
      <c r="J184" s="318"/>
      <c r="K184" s="318"/>
      <c r="L184" s="318"/>
      <c r="M184" s="318"/>
      <c r="N184" s="318"/>
      <c r="O184" s="318"/>
      <c r="P184" s="318"/>
      <c r="Q184" s="318"/>
      <c r="R184" s="318"/>
      <c r="S184" s="318"/>
      <c r="T184" s="318"/>
      <c r="U184" s="318"/>
      <c r="V184" s="318"/>
      <c r="W184" s="318"/>
      <c r="X184" s="318"/>
    </row>
    <row r="185" spans="2:24" ht="24" customHeight="1">
      <c r="B185" s="318"/>
      <c r="C185" s="318"/>
      <c r="D185" s="318"/>
      <c r="E185" s="318"/>
      <c r="F185" s="318"/>
      <c r="G185" s="318"/>
      <c r="H185" s="318"/>
      <c r="I185" s="318"/>
      <c r="J185" s="318"/>
      <c r="K185" s="318"/>
      <c r="L185" s="318"/>
      <c r="M185" s="318"/>
      <c r="N185" s="318"/>
      <c r="O185" s="318"/>
      <c r="P185" s="318"/>
      <c r="Q185" s="318"/>
      <c r="R185" s="318"/>
      <c r="S185" s="318"/>
      <c r="T185" s="318"/>
      <c r="U185" s="318"/>
      <c r="V185" s="318"/>
      <c r="W185" s="318"/>
      <c r="X185" s="318"/>
    </row>
    <row r="186" spans="2:24">
      <c r="B186" s="318"/>
      <c r="C186" s="318"/>
      <c r="D186" s="318"/>
      <c r="E186" s="318"/>
      <c r="F186" s="318"/>
      <c r="G186" s="318"/>
      <c r="H186" s="318"/>
      <c r="I186" s="318"/>
      <c r="J186" s="318"/>
      <c r="K186" s="318"/>
      <c r="L186" s="318"/>
      <c r="M186" s="318"/>
      <c r="N186" s="318"/>
      <c r="O186" s="318"/>
      <c r="P186" s="318"/>
      <c r="Q186" s="318"/>
      <c r="R186" s="318"/>
      <c r="S186" s="318"/>
      <c r="T186" s="318"/>
      <c r="U186" s="318"/>
      <c r="V186" s="318"/>
      <c r="W186" s="318"/>
      <c r="X186" s="318"/>
    </row>
    <row r="187" spans="2:24">
      <c r="B187" s="318"/>
      <c r="C187" s="318"/>
      <c r="D187" s="318"/>
      <c r="E187" s="318"/>
      <c r="F187" s="318"/>
      <c r="G187" s="318"/>
      <c r="H187" s="318"/>
      <c r="I187" s="318"/>
      <c r="J187" s="318"/>
      <c r="K187" s="318"/>
      <c r="L187" s="318"/>
      <c r="M187" s="318"/>
      <c r="N187" s="318"/>
      <c r="O187" s="318"/>
      <c r="P187" s="318"/>
      <c r="Q187" s="318"/>
      <c r="R187" s="318"/>
      <c r="S187" s="318"/>
      <c r="T187" s="318"/>
      <c r="U187" s="318"/>
      <c r="V187" s="318"/>
      <c r="W187" s="318"/>
      <c r="X187" s="318"/>
    </row>
    <row r="188" spans="2:24">
      <c r="B188" s="318"/>
      <c r="C188" s="318"/>
      <c r="D188" s="318"/>
      <c r="E188" s="318"/>
      <c r="F188" s="318"/>
      <c r="G188" s="318"/>
      <c r="H188" s="318"/>
      <c r="I188" s="318"/>
      <c r="J188" s="318"/>
      <c r="K188" s="318"/>
      <c r="L188" s="318"/>
      <c r="M188" s="318"/>
      <c r="N188" s="318"/>
      <c r="O188" s="318"/>
      <c r="P188" s="318"/>
      <c r="Q188" s="318"/>
      <c r="R188" s="318"/>
      <c r="S188" s="318"/>
      <c r="T188" s="318"/>
      <c r="U188" s="318"/>
      <c r="V188" s="318"/>
      <c r="W188" s="318"/>
      <c r="X188" s="318"/>
    </row>
    <row r="189" spans="2:24">
      <c r="B189" s="318"/>
      <c r="C189" s="318"/>
      <c r="D189" s="318"/>
      <c r="E189" s="318"/>
      <c r="F189" s="318"/>
      <c r="G189" s="318"/>
      <c r="H189" s="318"/>
      <c r="I189" s="318"/>
      <c r="J189" s="318"/>
      <c r="K189" s="318"/>
      <c r="L189" s="318"/>
      <c r="M189" s="318"/>
      <c r="N189" s="318"/>
      <c r="O189" s="318"/>
      <c r="P189" s="318"/>
      <c r="Q189" s="318"/>
      <c r="R189" s="318"/>
      <c r="S189" s="318"/>
      <c r="T189" s="318"/>
      <c r="U189" s="318"/>
      <c r="V189" s="318"/>
      <c r="W189" s="318"/>
      <c r="X189" s="318"/>
    </row>
    <row r="190" spans="2:24">
      <c r="B190" s="318"/>
      <c r="C190" s="318"/>
      <c r="D190" s="318"/>
      <c r="E190" s="318"/>
      <c r="F190" s="318"/>
      <c r="G190" s="318"/>
      <c r="H190" s="318"/>
      <c r="I190" s="318"/>
      <c r="J190" s="318"/>
      <c r="K190" s="318"/>
      <c r="L190" s="318"/>
      <c r="M190" s="318"/>
      <c r="N190" s="318"/>
      <c r="O190" s="318"/>
      <c r="P190" s="318"/>
      <c r="Q190" s="318"/>
      <c r="R190" s="318"/>
      <c r="S190" s="318"/>
      <c r="T190" s="318"/>
      <c r="U190" s="318"/>
      <c r="V190" s="318"/>
      <c r="W190" s="318"/>
      <c r="X190" s="318"/>
    </row>
    <row r="191" spans="2:24">
      <c r="B191" s="318"/>
      <c r="C191" s="318"/>
      <c r="D191" s="318"/>
      <c r="E191" s="318"/>
      <c r="F191" s="318"/>
      <c r="G191" s="318"/>
      <c r="H191" s="318"/>
      <c r="I191" s="318"/>
      <c r="J191" s="318"/>
      <c r="K191" s="318"/>
      <c r="L191" s="318"/>
      <c r="M191" s="318"/>
      <c r="N191" s="318"/>
      <c r="O191" s="318"/>
      <c r="P191" s="318"/>
      <c r="Q191" s="318"/>
      <c r="R191" s="318"/>
      <c r="S191" s="318"/>
      <c r="T191" s="318"/>
      <c r="U191" s="318"/>
      <c r="V191" s="318"/>
      <c r="W191" s="318"/>
      <c r="X191" s="318"/>
    </row>
    <row r="192" spans="2:24">
      <c r="B192" s="318"/>
      <c r="C192" s="318"/>
      <c r="D192" s="318"/>
      <c r="E192" s="318"/>
      <c r="F192" s="318"/>
      <c r="G192" s="318"/>
      <c r="H192" s="318"/>
      <c r="I192" s="318"/>
      <c r="J192" s="318"/>
      <c r="K192" s="318"/>
      <c r="L192" s="318"/>
      <c r="M192" s="318"/>
      <c r="N192" s="318"/>
      <c r="O192" s="318"/>
      <c r="P192" s="318"/>
      <c r="Q192" s="318"/>
      <c r="R192" s="318"/>
      <c r="S192" s="318"/>
      <c r="T192" s="318"/>
      <c r="U192" s="318"/>
      <c r="V192" s="318"/>
      <c r="W192" s="318"/>
      <c r="X192" s="318"/>
    </row>
    <row r="193" spans="2:24">
      <c r="B193" s="318"/>
      <c r="C193" s="318"/>
      <c r="D193" s="318"/>
      <c r="E193" s="318"/>
      <c r="F193" s="318"/>
      <c r="G193" s="318"/>
      <c r="H193" s="318"/>
      <c r="I193" s="318"/>
      <c r="J193" s="318"/>
      <c r="K193" s="318"/>
      <c r="L193" s="318"/>
      <c r="M193" s="318"/>
      <c r="N193" s="318"/>
      <c r="O193" s="318"/>
      <c r="P193" s="318"/>
      <c r="Q193" s="318"/>
      <c r="R193" s="318"/>
      <c r="S193" s="318"/>
      <c r="T193" s="318"/>
      <c r="U193" s="318"/>
      <c r="V193" s="318"/>
      <c r="W193" s="318"/>
      <c r="X193" s="318"/>
    </row>
    <row r="194" spans="2:24">
      <c r="B194" s="318"/>
      <c r="C194" s="318"/>
      <c r="D194" s="318"/>
      <c r="E194" s="318"/>
      <c r="F194" s="318"/>
      <c r="G194" s="318"/>
      <c r="H194" s="318"/>
      <c r="I194" s="318"/>
      <c r="J194" s="318"/>
      <c r="K194" s="318"/>
      <c r="L194" s="318"/>
      <c r="M194" s="318"/>
      <c r="N194" s="318"/>
      <c r="O194" s="318"/>
      <c r="P194" s="318"/>
      <c r="Q194" s="318"/>
      <c r="R194" s="318"/>
      <c r="S194" s="318"/>
      <c r="T194" s="318"/>
      <c r="U194" s="318"/>
      <c r="V194" s="318"/>
      <c r="W194" s="318"/>
      <c r="X194" s="318"/>
    </row>
    <row r="195" spans="2:24">
      <c r="B195" s="318"/>
      <c r="C195" s="318"/>
      <c r="D195" s="318"/>
      <c r="E195" s="318"/>
      <c r="F195" s="318"/>
      <c r="G195" s="318"/>
      <c r="H195" s="318"/>
      <c r="I195" s="318"/>
      <c r="J195" s="318"/>
      <c r="K195" s="318"/>
      <c r="L195" s="318"/>
      <c r="M195" s="318"/>
      <c r="N195" s="318"/>
      <c r="O195" s="318"/>
      <c r="P195" s="318"/>
      <c r="Q195" s="318"/>
      <c r="R195" s="318"/>
      <c r="S195" s="318"/>
      <c r="T195" s="318"/>
      <c r="U195" s="318"/>
      <c r="V195" s="318"/>
      <c r="W195" s="318"/>
      <c r="X195" s="318"/>
    </row>
    <row r="196" spans="2:24">
      <c r="B196" s="318"/>
      <c r="C196" s="318"/>
      <c r="D196" s="318"/>
      <c r="E196" s="318"/>
      <c r="F196" s="318"/>
      <c r="G196" s="318"/>
      <c r="H196" s="318"/>
      <c r="I196" s="318"/>
      <c r="J196" s="318"/>
      <c r="K196" s="318"/>
      <c r="L196" s="318"/>
      <c r="M196" s="318"/>
      <c r="N196" s="318"/>
      <c r="O196" s="318"/>
      <c r="P196" s="318"/>
      <c r="Q196" s="318"/>
      <c r="R196" s="318"/>
      <c r="S196" s="318"/>
      <c r="T196" s="318"/>
      <c r="U196" s="318"/>
      <c r="V196" s="318"/>
      <c r="W196" s="318"/>
      <c r="X196" s="318"/>
    </row>
    <row r="197" spans="2:24">
      <c r="B197" s="318"/>
      <c r="C197" s="318"/>
      <c r="D197" s="318"/>
      <c r="E197" s="318"/>
      <c r="F197" s="318"/>
      <c r="G197" s="318"/>
      <c r="H197" s="318"/>
      <c r="I197" s="318"/>
      <c r="J197" s="318"/>
      <c r="K197" s="318"/>
      <c r="L197" s="318"/>
      <c r="M197" s="318"/>
      <c r="N197" s="318"/>
      <c r="O197" s="318"/>
      <c r="P197" s="318"/>
      <c r="Q197" s="318"/>
      <c r="R197" s="318"/>
      <c r="S197" s="318"/>
      <c r="T197" s="318"/>
      <c r="U197" s="318"/>
      <c r="V197" s="318"/>
      <c r="W197" s="318"/>
      <c r="X197" s="318"/>
    </row>
    <row r="198" spans="2:24">
      <c r="B198" s="318"/>
      <c r="C198" s="318"/>
      <c r="D198" s="318"/>
      <c r="E198" s="318"/>
      <c r="F198" s="318"/>
      <c r="G198" s="318"/>
      <c r="H198" s="318"/>
      <c r="I198" s="318"/>
      <c r="J198" s="318"/>
      <c r="K198" s="318"/>
      <c r="L198" s="318"/>
      <c r="M198" s="318"/>
      <c r="N198" s="318"/>
      <c r="O198" s="318"/>
      <c r="P198" s="318"/>
      <c r="Q198" s="318"/>
      <c r="R198" s="318"/>
      <c r="S198" s="318"/>
      <c r="T198" s="318"/>
      <c r="U198" s="318"/>
      <c r="V198" s="318"/>
      <c r="W198" s="318"/>
      <c r="X198" s="318"/>
    </row>
    <row r="199" spans="2:24">
      <c r="B199" s="318"/>
      <c r="C199" s="318"/>
      <c r="D199" s="318"/>
      <c r="E199" s="318"/>
      <c r="F199" s="318"/>
      <c r="G199" s="318"/>
      <c r="H199" s="318"/>
      <c r="I199" s="318"/>
      <c r="J199" s="318"/>
      <c r="K199" s="318"/>
      <c r="L199" s="318"/>
      <c r="M199" s="318"/>
      <c r="N199" s="318"/>
      <c r="O199" s="318"/>
      <c r="P199" s="318"/>
      <c r="Q199" s="318"/>
      <c r="R199" s="318"/>
      <c r="S199" s="318"/>
      <c r="T199" s="318"/>
      <c r="U199" s="318"/>
      <c r="V199" s="318"/>
      <c r="W199" s="318"/>
      <c r="X199" s="318"/>
    </row>
    <row r="200" spans="2:24">
      <c r="B200" s="318"/>
      <c r="C200" s="318"/>
      <c r="D200" s="318"/>
      <c r="E200" s="318"/>
      <c r="F200" s="318"/>
      <c r="G200" s="318"/>
      <c r="H200" s="318"/>
      <c r="I200" s="318"/>
      <c r="J200" s="318"/>
      <c r="K200" s="318"/>
      <c r="L200" s="318"/>
      <c r="M200" s="318"/>
      <c r="N200" s="318"/>
      <c r="O200" s="318"/>
      <c r="P200" s="318"/>
      <c r="Q200" s="318"/>
      <c r="R200" s="318"/>
      <c r="S200" s="318"/>
      <c r="T200" s="318"/>
      <c r="U200" s="318"/>
      <c r="V200" s="318"/>
      <c r="W200" s="318"/>
      <c r="X200" s="318"/>
    </row>
    <row r="201" spans="2:24">
      <c r="B201" s="318"/>
      <c r="C201" s="318"/>
      <c r="D201" s="318"/>
      <c r="E201" s="318"/>
      <c r="F201" s="318"/>
      <c r="G201" s="318"/>
      <c r="H201" s="318"/>
      <c r="I201" s="318"/>
      <c r="J201" s="318"/>
      <c r="K201" s="318"/>
      <c r="L201" s="318"/>
      <c r="M201" s="318"/>
      <c r="N201" s="318"/>
      <c r="O201" s="318"/>
      <c r="P201" s="318"/>
      <c r="Q201" s="318"/>
      <c r="R201" s="318"/>
      <c r="S201" s="318"/>
      <c r="T201" s="318"/>
      <c r="U201" s="318"/>
      <c r="V201" s="318"/>
      <c r="W201" s="318"/>
      <c r="X201" s="318"/>
    </row>
    <row r="202" spans="2:24">
      <c r="B202" s="318"/>
      <c r="C202" s="318"/>
      <c r="D202" s="318"/>
      <c r="E202" s="318"/>
      <c r="F202" s="318"/>
      <c r="G202" s="318"/>
      <c r="H202" s="318"/>
      <c r="I202" s="318"/>
      <c r="J202" s="318"/>
      <c r="K202" s="318"/>
      <c r="L202" s="318"/>
      <c r="M202" s="318"/>
      <c r="N202" s="318"/>
      <c r="O202" s="318"/>
      <c r="P202" s="318"/>
      <c r="Q202" s="318"/>
      <c r="R202" s="318"/>
      <c r="S202" s="318"/>
      <c r="T202" s="318"/>
      <c r="U202" s="318"/>
      <c r="V202" s="318"/>
      <c r="W202" s="318"/>
      <c r="X202" s="318"/>
    </row>
    <row r="203" spans="2:24">
      <c r="B203" s="318"/>
      <c r="C203" s="318"/>
      <c r="D203" s="318"/>
      <c r="E203" s="318"/>
      <c r="F203" s="318"/>
      <c r="G203" s="318"/>
      <c r="H203" s="318"/>
      <c r="I203" s="318"/>
      <c r="J203" s="318"/>
      <c r="K203" s="318"/>
      <c r="L203" s="318"/>
      <c r="M203" s="318"/>
      <c r="N203" s="318"/>
      <c r="O203" s="318"/>
      <c r="P203" s="318"/>
      <c r="Q203" s="318"/>
      <c r="R203" s="318"/>
      <c r="S203" s="318"/>
      <c r="T203" s="318"/>
      <c r="U203" s="318"/>
      <c r="V203" s="318"/>
      <c r="W203" s="318"/>
      <c r="X203" s="318"/>
    </row>
    <row r="204" spans="2:24">
      <c r="B204" s="318"/>
      <c r="C204" s="318"/>
      <c r="D204" s="318"/>
      <c r="E204" s="318"/>
      <c r="F204" s="318"/>
      <c r="G204" s="318"/>
      <c r="H204" s="318"/>
      <c r="I204" s="318"/>
      <c r="J204" s="318"/>
      <c r="K204" s="318"/>
      <c r="L204" s="318"/>
      <c r="M204" s="318"/>
      <c r="N204" s="318"/>
      <c r="O204" s="318"/>
      <c r="P204" s="318"/>
      <c r="Q204" s="318"/>
      <c r="R204" s="318"/>
      <c r="S204" s="318"/>
      <c r="T204" s="318"/>
      <c r="U204" s="318"/>
      <c r="V204" s="318"/>
      <c r="W204" s="318"/>
      <c r="X204" s="318"/>
    </row>
    <row r="205" spans="2:24">
      <c r="B205" s="318"/>
      <c r="C205" s="318"/>
      <c r="D205" s="318"/>
      <c r="E205" s="318"/>
      <c r="F205" s="318"/>
      <c r="G205" s="318"/>
      <c r="H205" s="318"/>
      <c r="I205" s="318"/>
      <c r="J205" s="318"/>
      <c r="K205" s="318"/>
      <c r="L205" s="318"/>
      <c r="M205" s="318"/>
      <c r="N205" s="318"/>
      <c r="O205" s="318"/>
      <c r="P205" s="318"/>
      <c r="Q205" s="318"/>
      <c r="R205" s="318"/>
      <c r="S205" s="318"/>
      <c r="T205" s="318"/>
      <c r="U205" s="318"/>
      <c r="V205" s="318"/>
      <c r="W205" s="318"/>
      <c r="X205" s="318"/>
    </row>
    <row r="206" spans="2:24">
      <c r="B206" s="318"/>
      <c r="C206" s="318"/>
      <c r="D206" s="318"/>
      <c r="E206" s="318"/>
      <c r="F206" s="318"/>
      <c r="G206" s="318"/>
      <c r="H206" s="318"/>
      <c r="I206" s="318"/>
      <c r="J206" s="318"/>
      <c r="K206" s="318"/>
      <c r="L206" s="318"/>
      <c r="M206" s="318"/>
      <c r="N206" s="318"/>
      <c r="O206" s="318"/>
      <c r="P206" s="318"/>
      <c r="Q206" s="318"/>
      <c r="R206" s="318"/>
      <c r="S206" s="318"/>
      <c r="T206" s="318"/>
      <c r="U206" s="318"/>
      <c r="V206" s="318"/>
      <c r="W206" s="318"/>
      <c r="X206" s="318"/>
    </row>
    <row r="207" spans="2:24">
      <c r="B207" s="318"/>
      <c r="C207" s="318"/>
      <c r="D207" s="318"/>
      <c r="E207" s="318"/>
      <c r="F207" s="318"/>
      <c r="G207" s="318"/>
      <c r="H207" s="318"/>
      <c r="I207" s="318"/>
      <c r="J207" s="318"/>
      <c r="K207" s="318"/>
      <c r="L207" s="318"/>
      <c r="M207" s="318"/>
      <c r="N207" s="318"/>
      <c r="O207" s="318"/>
      <c r="P207" s="318"/>
      <c r="Q207" s="318"/>
      <c r="R207" s="318"/>
      <c r="S207" s="318"/>
      <c r="T207" s="318"/>
      <c r="U207" s="318"/>
      <c r="V207" s="318"/>
      <c r="W207" s="318"/>
      <c r="X207" s="318"/>
    </row>
    <row r="208" spans="2:24">
      <c r="B208" s="318"/>
      <c r="C208" s="318"/>
      <c r="D208" s="318"/>
      <c r="E208" s="318"/>
      <c r="F208" s="318"/>
      <c r="G208" s="318"/>
      <c r="H208" s="318"/>
      <c r="I208" s="318"/>
      <c r="J208" s="318"/>
      <c r="K208" s="318"/>
      <c r="L208" s="318"/>
      <c r="M208" s="318"/>
      <c r="N208" s="318"/>
      <c r="O208" s="318"/>
      <c r="P208" s="318"/>
      <c r="Q208" s="318"/>
      <c r="R208" s="318"/>
      <c r="S208" s="318"/>
      <c r="T208" s="318"/>
      <c r="U208" s="318"/>
      <c r="V208" s="318"/>
      <c r="W208" s="318"/>
      <c r="X208" s="318"/>
    </row>
    <row r="209" spans="2:24">
      <c r="B209" s="318"/>
      <c r="C209" s="318"/>
      <c r="D209" s="318"/>
      <c r="E209" s="318"/>
      <c r="F209" s="318"/>
      <c r="G209" s="318"/>
      <c r="H209" s="318"/>
      <c r="I209" s="318"/>
      <c r="J209" s="318"/>
      <c r="K209" s="318"/>
      <c r="L209" s="318"/>
      <c r="M209" s="318"/>
      <c r="N209" s="318"/>
      <c r="O209" s="318"/>
      <c r="P209" s="318"/>
      <c r="Q209" s="318"/>
      <c r="R209" s="318"/>
      <c r="S209" s="318"/>
      <c r="T209" s="318"/>
      <c r="U209" s="318"/>
      <c r="V209" s="318"/>
      <c r="W209" s="318"/>
      <c r="X209" s="318"/>
    </row>
    <row r="210" spans="2:24">
      <c r="B210" s="318"/>
      <c r="C210" s="318"/>
      <c r="D210" s="318"/>
      <c r="E210" s="318"/>
      <c r="F210" s="318"/>
      <c r="G210" s="318"/>
      <c r="H210" s="318"/>
      <c r="I210" s="318"/>
      <c r="J210" s="318"/>
      <c r="K210" s="318"/>
      <c r="L210" s="318"/>
      <c r="M210" s="318"/>
      <c r="N210" s="318"/>
      <c r="O210" s="318"/>
      <c r="P210" s="318"/>
      <c r="Q210" s="318"/>
      <c r="R210" s="318"/>
      <c r="S210" s="318"/>
      <c r="T210" s="318"/>
      <c r="U210" s="318"/>
      <c r="V210" s="318"/>
      <c r="W210" s="318"/>
      <c r="X210" s="318"/>
    </row>
    <row r="211" spans="2:24">
      <c r="B211" s="318"/>
      <c r="C211" s="318"/>
      <c r="D211" s="318"/>
      <c r="E211" s="318"/>
      <c r="F211" s="318"/>
      <c r="G211" s="318"/>
      <c r="H211" s="318"/>
      <c r="I211" s="318"/>
      <c r="J211" s="318"/>
      <c r="K211" s="318"/>
      <c r="L211" s="318"/>
      <c r="M211" s="318"/>
      <c r="N211" s="318"/>
      <c r="O211" s="318"/>
      <c r="P211" s="318"/>
      <c r="Q211" s="318"/>
      <c r="R211" s="318"/>
      <c r="S211" s="318"/>
      <c r="T211" s="318"/>
      <c r="U211" s="318"/>
      <c r="V211" s="318"/>
      <c r="W211" s="318"/>
      <c r="X211" s="318"/>
    </row>
    <row r="212" spans="2:24">
      <c r="B212" s="318"/>
      <c r="C212" s="318"/>
      <c r="D212" s="318"/>
      <c r="E212" s="318"/>
      <c r="F212" s="318"/>
      <c r="G212" s="318"/>
      <c r="H212" s="318"/>
      <c r="I212" s="318"/>
      <c r="J212" s="318"/>
      <c r="K212" s="318"/>
      <c r="L212" s="318"/>
      <c r="M212" s="318"/>
      <c r="N212" s="318"/>
      <c r="O212" s="318"/>
      <c r="P212" s="318"/>
      <c r="Q212" s="318"/>
      <c r="R212" s="318"/>
      <c r="S212" s="318"/>
      <c r="T212" s="318"/>
      <c r="U212" s="318"/>
      <c r="V212" s="318"/>
      <c r="W212" s="318"/>
      <c r="X212" s="318"/>
    </row>
    <row r="213" spans="2:24">
      <c r="B213" s="318"/>
      <c r="C213" s="318"/>
      <c r="D213" s="318"/>
      <c r="E213" s="318"/>
      <c r="F213" s="318"/>
      <c r="G213" s="318"/>
      <c r="H213" s="318"/>
      <c r="I213" s="318"/>
      <c r="J213" s="318"/>
      <c r="K213" s="318"/>
      <c r="L213" s="318"/>
      <c r="M213" s="318"/>
      <c r="N213" s="318"/>
      <c r="O213" s="318"/>
      <c r="P213" s="318"/>
      <c r="Q213" s="318"/>
      <c r="R213" s="318"/>
      <c r="S213" s="318"/>
      <c r="T213" s="318"/>
      <c r="U213" s="318"/>
      <c r="V213" s="318"/>
      <c r="W213" s="318"/>
      <c r="X213" s="318"/>
    </row>
    <row r="214" spans="2:24">
      <c r="B214" s="318"/>
      <c r="C214" s="318"/>
      <c r="D214" s="318"/>
      <c r="E214" s="318"/>
      <c r="F214" s="318"/>
      <c r="G214" s="318"/>
      <c r="H214" s="318"/>
      <c r="I214" s="318"/>
      <c r="J214" s="318"/>
      <c r="K214" s="318"/>
      <c r="L214" s="318"/>
      <c r="M214" s="318"/>
      <c r="N214" s="318"/>
      <c r="O214" s="318"/>
      <c r="P214" s="318"/>
      <c r="Q214" s="318"/>
      <c r="R214" s="318"/>
      <c r="S214" s="318"/>
      <c r="T214" s="318"/>
      <c r="U214" s="318"/>
      <c r="V214" s="318"/>
      <c r="W214" s="318"/>
      <c r="X214" s="318"/>
    </row>
    <row r="215" spans="2:24">
      <c r="B215" s="318"/>
      <c r="C215" s="318"/>
      <c r="D215" s="318"/>
      <c r="E215" s="318"/>
      <c r="F215" s="318"/>
      <c r="G215" s="318"/>
      <c r="H215" s="318"/>
      <c r="I215" s="318"/>
      <c r="J215" s="318"/>
      <c r="K215" s="318"/>
      <c r="L215" s="318"/>
      <c r="M215" s="318"/>
      <c r="N215" s="318"/>
      <c r="O215" s="318"/>
      <c r="P215" s="318"/>
      <c r="Q215" s="318"/>
      <c r="R215" s="318"/>
      <c r="S215" s="318"/>
      <c r="T215" s="318"/>
      <c r="U215" s="318"/>
      <c r="V215" s="318"/>
      <c r="W215" s="318"/>
      <c r="X215" s="318"/>
    </row>
    <row r="216" spans="2:24">
      <c r="B216" s="318"/>
      <c r="C216" s="318"/>
      <c r="D216" s="318"/>
      <c r="E216" s="318"/>
      <c r="F216" s="318"/>
      <c r="G216" s="318"/>
      <c r="H216" s="318"/>
      <c r="I216" s="318"/>
      <c r="J216" s="318"/>
      <c r="K216" s="318"/>
      <c r="L216" s="318"/>
      <c r="M216" s="318"/>
      <c r="N216" s="318"/>
      <c r="O216" s="318"/>
      <c r="P216" s="318"/>
      <c r="Q216" s="318"/>
      <c r="R216" s="318"/>
      <c r="S216" s="318"/>
      <c r="T216" s="318"/>
      <c r="U216" s="318"/>
      <c r="V216" s="318"/>
      <c r="W216" s="318"/>
      <c r="X216" s="318"/>
    </row>
    <row r="217" spans="2:24">
      <c r="B217" s="318"/>
      <c r="C217" s="318"/>
      <c r="D217" s="318"/>
      <c r="E217" s="318"/>
      <c r="F217" s="318"/>
      <c r="G217" s="318"/>
      <c r="H217" s="318"/>
      <c r="I217" s="318"/>
      <c r="J217" s="318"/>
      <c r="K217" s="318"/>
      <c r="L217" s="318"/>
      <c r="M217" s="318"/>
      <c r="N217" s="318"/>
      <c r="O217" s="318"/>
      <c r="P217" s="318"/>
      <c r="Q217" s="318"/>
      <c r="R217" s="318"/>
      <c r="S217" s="318"/>
      <c r="T217" s="318"/>
      <c r="U217" s="318"/>
      <c r="V217" s="318"/>
      <c r="W217" s="318"/>
      <c r="X217" s="318"/>
    </row>
    <row r="218" spans="2:24">
      <c r="B218" s="318"/>
      <c r="C218" s="318"/>
      <c r="D218" s="318"/>
      <c r="E218" s="318"/>
      <c r="F218" s="318"/>
      <c r="G218" s="318"/>
      <c r="H218" s="318"/>
      <c r="I218" s="318"/>
      <c r="J218" s="318"/>
      <c r="K218" s="318"/>
      <c r="L218" s="318"/>
      <c r="M218" s="318"/>
      <c r="N218" s="318"/>
      <c r="O218" s="318"/>
      <c r="P218" s="318"/>
      <c r="Q218" s="318"/>
      <c r="R218" s="318"/>
      <c r="S218" s="318"/>
      <c r="T218" s="318"/>
      <c r="U218" s="318"/>
      <c r="V218" s="318"/>
      <c r="W218" s="318"/>
      <c r="X218" s="318"/>
    </row>
    <row r="219" spans="2:24">
      <c r="B219" s="318"/>
      <c r="C219" s="318"/>
      <c r="D219" s="318"/>
      <c r="E219" s="318"/>
      <c r="F219" s="318"/>
      <c r="G219" s="318"/>
      <c r="H219" s="318"/>
      <c r="I219" s="318"/>
      <c r="J219" s="318"/>
      <c r="K219" s="318"/>
      <c r="L219" s="318"/>
      <c r="M219" s="318"/>
      <c r="N219" s="318"/>
      <c r="O219" s="318"/>
      <c r="P219" s="318"/>
      <c r="Q219" s="318"/>
      <c r="R219" s="318"/>
      <c r="S219" s="318"/>
      <c r="T219" s="318"/>
      <c r="U219" s="318"/>
      <c r="V219" s="318"/>
      <c r="W219" s="318"/>
      <c r="X219" s="318"/>
    </row>
    <row r="220" spans="2:24">
      <c r="B220" s="318"/>
      <c r="C220" s="318"/>
      <c r="D220" s="318"/>
      <c r="E220" s="318"/>
      <c r="F220" s="318"/>
      <c r="G220" s="318"/>
      <c r="H220" s="318"/>
      <c r="I220" s="318"/>
      <c r="J220" s="318"/>
      <c r="K220" s="318"/>
      <c r="L220" s="318"/>
      <c r="M220" s="318"/>
      <c r="N220" s="318"/>
      <c r="O220" s="318"/>
      <c r="P220" s="318"/>
      <c r="Q220" s="318"/>
      <c r="R220" s="318"/>
      <c r="S220" s="318"/>
      <c r="T220" s="318"/>
      <c r="U220" s="318"/>
      <c r="V220" s="318"/>
      <c r="W220" s="318"/>
      <c r="X220" s="318"/>
    </row>
    <row r="221" spans="2:24">
      <c r="B221" s="318"/>
      <c r="C221" s="318"/>
      <c r="D221" s="318"/>
      <c r="E221" s="318"/>
      <c r="F221" s="318"/>
      <c r="G221" s="318"/>
      <c r="H221" s="318"/>
      <c r="I221" s="318"/>
      <c r="J221" s="318"/>
      <c r="K221" s="318"/>
      <c r="L221" s="318"/>
      <c r="M221" s="318"/>
      <c r="N221" s="318"/>
      <c r="O221" s="318"/>
      <c r="P221" s="318"/>
      <c r="Q221" s="318"/>
      <c r="R221" s="318"/>
      <c r="S221" s="318"/>
      <c r="T221" s="318"/>
      <c r="U221" s="318"/>
      <c r="V221" s="318"/>
      <c r="W221" s="318"/>
      <c r="X221" s="318"/>
    </row>
    <row r="222" spans="2:24">
      <c r="B222" s="318"/>
      <c r="C222" s="318"/>
      <c r="D222" s="318"/>
      <c r="E222" s="318"/>
      <c r="F222" s="318"/>
      <c r="G222" s="318"/>
      <c r="H222" s="318"/>
      <c r="I222" s="318"/>
      <c r="J222" s="318"/>
      <c r="K222" s="318"/>
      <c r="L222" s="318"/>
      <c r="M222" s="318"/>
      <c r="N222" s="318"/>
      <c r="O222" s="318"/>
      <c r="P222" s="318"/>
      <c r="Q222" s="318"/>
      <c r="R222" s="318"/>
      <c r="S222" s="318"/>
      <c r="T222" s="318"/>
      <c r="U222" s="318"/>
      <c r="V222" s="318"/>
      <c r="W222" s="318"/>
      <c r="X222" s="318"/>
    </row>
    <row r="223" spans="2:24">
      <c r="B223" s="318"/>
      <c r="C223" s="318"/>
      <c r="D223" s="318"/>
      <c r="E223" s="318"/>
      <c r="F223" s="318"/>
      <c r="G223" s="318"/>
      <c r="H223" s="318"/>
      <c r="I223" s="318"/>
      <c r="J223" s="318"/>
      <c r="K223" s="318"/>
      <c r="L223" s="318"/>
      <c r="M223" s="318"/>
      <c r="N223" s="318"/>
      <c r="O223" s="318"/>
      <c r="P223" s="318"/>
      <c r="Q223" s="318"/>
      <c r="R223" s="318"/>
      <c r="S223" s="318"/>
      <c r="T223" s="318"/>
      <c r="U223" s="318"/>
      <c r="V223" s="318"/>
      <c r="W223" s="318"/>
      <c r="X223" s="318"/>
    </row>
    <row r="224" spans="2:24">
      <c r="B224" s="318"/>
      <c r="C224" s="318"/>
      <c r="D224" s="318"/>
      <c r="E224" s="318"/>
      <c r="F224" s="318"/>
      <c r="G224" s="318"/>
      <c r="H224" s="318"/>
      <c r="I224" s="318"/>
      <c r="J224" s="318"/>
      <c r="K224" s="318"/>
      <c r="L224" s="318"/>
      <c r="M224" s="318"/>
      <c r="N224" s="318"/>
      <c r="O224" s="318"/>
      <c r="P224" s="318"/>
      <c r="Q224" s="318"/>
      <c r="R224" s="318"/>
      <c r="S224" s="318"/>
      <c r="T224" s="318"/>
      <c r="U224" s="318"/>
      <c r="V224" s="318"/>
      <c r="W224" s="318"/>
      <c r="X224" s="318"/>
    </row>
    <row r="225" spans="2:24">
      <c r="B225" s="318"/>
      <c r="C225" s="318"/>
      <c r="D225" s="318"/>
      <c r="E225" s="318"/>
      <c r="F225" s="318"/>
      <c r="G225" s="318"/>
      <c r="H225" s="318"/>
      <c r="I225" s="318"/>
      <c r="J225" s="318"/>
      <c r="K225" s="318"/>
      <c r="L225" s="318"/>
      <c r="M225" s="318"/>
      <c r="N225" s="318"/>
      <c r="O225" s="318"/>
      <c r="P225" s="318"/>
      <c r="Q225" s="318"/>
      <c r="R225" s="318"/>
      <c r="S225" s="318"/>
      <c r="T225" s="318"/>
      <c r="U225" s="318"/>
      <c r="V225" s="318"/>
      <c r="W225" s="318"/>
      <c r="X225" s="318"/>
    </row>
    <row r="226" spans="2:24">
      <c r="B226" s="318"/>
      <c r="C226" s="318"/>
      <c r="D226" s="318"/>
      <c r="E226" s="318"/>
      <c r="F226" s="318"/>
      <c r="G226" s="318"/>
      <c r="H226" s="318"/>
      <c r="I226" s="318"/>
      <c r="J226" s="318"/>
      <c r="K226" s="318"/>
      <c r="L226" s="318"/>
      <c r="M226" s="318"/>
      <c r="N226" s="318"/>
      <c r="O226" s="318"/>
      <c r="P226" s="318"/>
      <c r="Q226" s="318"/>
      <c r="R226" s="318"/>
      <c r="S226" s="318"/>
      <c r="T226" s="318"/>
      <c r="U226" s="318"/>
      <c r="V226" s="318"/>
      <c r="W226" s="318"/>
      <c r="X226" s="318"/>
    </row>
    <row r="227" spans="2:24">
      <c r="B227" s="318"/>
      <c r="C227" s="318"/>
      <c r="D227" s="318"/>
      <c r="E227" s="318"/>
      <c r="F227" s="318"/>
      <c r="G227" s="318"/>
      <c r="H227" s="318"/>
      <c r="I227" s="318"/>
      <c r="J227" s="318"/>
      <c r="K227" s="318"/>
      <c r="L227" s="318"/>
      <c r="M227" s="318"/>
      <c r="N227" s="318"/>
      <c r="O227" s="318"/>
      <c r="P227" s="318"/>
      <c r="Q227" s="318"/>
      <c r="R227" s="318"/>
      <c r="S227" s="318"/>
      <c r="T227" s="318"/>
      <c r="U227" s="318"/>
      <c r="V227" s="318"/>
      <c r="W227" s="318"/>
      <c r="X227" s="318"/>
    </row>
    <row r="228" spans="2:24">
      <c r="B228" s="318"/>
      <c r="C228" s="318"/>
      <c r="D228" s="318"/>
      <c r="E228" s="318"/>
      <c r="F228" s="318"/>
      <c r="G228" s="318"/>
      <c r="H228" s="318"/>
      <c r="I228" s="318"/>
      <c r="J228" s="318"/>
      <c r="K228" s="318"/>
      <c r="L228" s="318"/>
      <c r="M228" s="318"/>
      <c r="N228" s="318"/>
      <c r="O228" s="318"/>
      <c r="P228" s="318"/>
      <c r="Q228" s="318"/>
      <c r="R228" s="318"/>
      <c r="S228" s="318"/>
      <c r="T228" s="318"/>
      <c r="U228" s="318"/>
      <c r="V228" s="318"/>
      <c r="W228" s="318"/>
      <c r="X228" s="318"/>
    </row>
    <row r="229" spans="2:24">
      <c r="B229" s="318"/>
      <c r="C229" s="318"/>
      <c r="D229" s="318"/>
      <c r="E229" s="318"/>
      <c r="F229" s="318"/>
      <c r="G229" s="318"/>
      <c r="H229" s="318"/>
      <c r="I229" s="318"/>
      <c r="J229" s="318"/>
      <c r="K229" s="318"/>
      <c r="L229" s="318"/>
      <c r="M229" s="318"/>
      <c r="N229" s="318"/>
      <c r="O229" s="318"/>
      <c r="P229" s="318"/>
      <c r="Q229" s="318"/>
      <c r="R229" s="318"/>
      <c r="S229" s="318"/>
      <c r="T229" s="318"/>
      <c r="U229" s="318"/>
      <c r="V229" s="318"/>
      <c r="W229" s="318"/>
      <c r="X229" s="318"/>
    </row>
    <row r="230" spans="2:24">
      <c r="B230" s="318"/>
      <c r="C230" s="318"/>
      <c r="D230" s="318"/>
      <c r="E230" s="318"/>
      <c r="F230" s="318"/>
      <c r="G230" s="318"/>
      <c r="H230" s="318"/>
      <c r="I230" s="318"/>
      <c r="J230" s="318"/>
      <c r="K230" s="318"/>
      <c r="L230" s="318"/>
      <c r="M230" s="318"/>
      <c r="N230" s="318"/>
      <c r="O230" s="318"/>
      <c r="P230" s="318"/>
      <c r="Q230" s="318"/>
      <c r="R230" s="318"/>
      <c r="S230" s="318"/>
      <c r="T230" s="318"/>
      <c r="U230" s="318"/>
      <c r="V230" s="318"/>
      <c r="W230" s="318"/>
      <c r="X230" s="318"/>
    </row>
    <row r="231" spans="2:24">
      <c r="B231" s="318"/>
      <c r="C231" s="318"/>
      <c r="D231" s="318"/>
      <c r="E231" s="318"/>
      <c r="F231" s="318"/>
      <c r="G231" s="318"/>
      <c r="H231" s="318"/>
      <c r="I231" s="318"/>
      <c r="J231" s="318"/>
      <c r="K231" s="318"/>
      <c r="L231" s="318"/>
      <c r="M231" s="318"/>
      <c r="N231" s="318"/>
      <c r="O231" s="318"/>
      <c r="P231" s="318"/>
      <c r="Q231" s="318"/>
      <c r="R231" s="318"/>
      <c r="S231" s="318"/>
      <c r="T231" s="318"/>
      <c r="U231" s="318"/>
      <c r="V231" s="318"/>
      <c r="W231" s="318"/>
      <c r="X231" s="318"/>
    </row>
    <row r="232" spans="2:24">
      <c r="B232" s="318"/>
      <c r="C232" s="318"/>
      <c r="D232" s="318"/>
      <c r="E232" s="318"/>
      <c r="F232" s="318"/>
      <c r="G232" s="318"/>
      <c r="H232" s="318"/>
      <c r="I232" s="318"/>
      <c r="J232" s="318"/>
      <c r="K232" s="318"/>
      <c r="L232" s="318"/>
      <c r="M232" s="318"/>
      <c r="N232" s="318"/>
      <c r="O232" s="318"/>
      <c r="P232" s="318"/>
      <c r="Q232" s="318"/>
      <c r="R232" s="318"/>
      <c r="S232" s="318"/>
      <c r="T232" s="318"/>
      <c r="U232" s="318"/>
      <c r="V232" s="318"/>
      <c r="W232" s="318"/>
      <c r="X232" s="318"/>
    </row>
    <row r="233" spans="2:24">
      <c r="B233" s="318"/>
      <c r="C233" s="318"/>
      <c r="D233" s="318"/>
      <c r="E233" s="318"/>
      <c r="F233" s="318"/>
      <c r="G233" s="318"/>
      <c r="H233" s="318"/>
      <c r="I233" s="318"/>
      <c r="J233" s="318"/>
      <c r="K233" s="318"/>
      <c r="L233" s="318"/>
      <c r="M233" s="318"/>
      <c r="N233" s="318"/>
      <c r="O233" s="318"/>
      <c r="P233" s="318"/>
      <c r="Q233" s="318"/>
      <c r="R233" s="318"/>
      <c r="S233" s="318"/>
      <c r="T233" s="318"/>
      <c r="U233" s="318"/>
      <c r="V233" s="318"/>
      <c r="W233" s="318"/>
      <c r="X233" s="318"/>
    </row>
    <row r="234" spans="2:24">
      <c r="B234" s="318"/>
      <c r="C234" s="318"/>
      <c r="D234" s="318"/>
      <c r="E234" s="318"/>
      <c r="F234" s="318"/>
      <c r="G234" s="318"/>
      <c r="H234" s="318"/>
      <c r="I234" s="318"/>
      <c r="J234" s="318"/>
      <c r="K234" s="318"/>
      <c r="L234" s="318"/>
      <c r="M234" s="318"/>
      <c r="N234" s="318"/>
      <c r="O234" s="318"/>
      <c r="P234" s="318"/>
      <c r="Q234" s="318"/>
      <c r="R234" s="318"/>
      <c r="S234" s="318"/>
      <c r="T234" s="318"/>
      <c r="U234" s="318"/>
      <c r="V234" s="318"/>
      <c r="W234" s="318"/>
      <c r="X234" s="318"/>
    </row>
    <row r="235" spans="2:24">
      <c r="B235" s="318"/>
      <c r="C235" s="318"/>
      <c r="D235" s="318"/>
      <c r="E235" s="318"/>
      <c r="F235" s="318"/>
      <c r="G235" s="318"/>
      <c r="H235" s="318"/>
      <c r="I235" s="318"/>
      <c r="J235" s="318"/>
      <c r="K235" s="318"/>
      <c r="L235" s="318"/>
      <c r="M235" s="318"/>
      <c r="N235" s="318"/>
      <c r="O235" s="318"/>
      <c r="P235" s="318"/>
      <c r="Q235" s="318"/>
      <c r="R235" s="318"/>
      <c r="S235" s="318"/>
      <c r="T235" s="318"/>
      <c r="U235" s="318"/>
      <c r="V235" s="318"/>
      <c r="W235" s="318"/>
      <c r="X235" s="318"/>
    </row>
    <row r="236" spans="2:24">
      <c r="B236" s="318"/>
      <c r="C236" s="318"/>
      <c r="D236" s="318"/>
      <c r="E236" s="318"/>
      <c r="F236" s="318"/>
      <c r="G236" s="318"/>
      <c r="H236" s="318"/>
      <c r="I236" s="318"/>
      <c r="J236" s="318"/>
      <c r="K236" s="318"/>
      <c r="L236" s="318"/>
      <c r="M236" s="318"/>
      <c r="N236" s="318"/>
      <c r="O236" s="318"/>
      <c r="P236" s="318"/>
      <c r="Q236" s="318"/>
      <c r="R236" s="318"/>
      <c r="S236" s="318"/>
      <c r="T236" s="318"/>
      <c r="U236" s="318"/>
      <c r="V236" s="318"/>
      <c r="W236" s="318"/>
      <c r="X236" s="318"/>
    </row>
    <row r="237" spans="2:24">
      <c r="B237" s="318"/>
      <c r="C237" s="318"/>
      <c r="D237" s="318"/>
      <c r="E237" s="318"/>
      <c r="F237" s="318"/>
      <c r="G237" s="318"/>
      <c r="H237" s="318"/>
      <c r="I237" s="318"/>
      <c r="J237" s="318"/>
      <c r="K237" s="318"/>
      <c r="L237" s="318"/>
      <c r="M237" s="318"/>
      <c r="N237" s="318"/>
      <c r="O237" s="318"/>
      <c r="P237" s="318"/>
      <c r="Q237" s="318"/>
      <c r="R237" s="318"/>
      <c r="S237" s="318"/>
      <c r="T237" s="318"/>
      <c r="U237" s="318"/>
      <c r="V237" s="318"/>
      <c r="W237" s="318"/>
      <c r="X237" s="318"/>
    </row>
    <row r="238" spans="2:24">
      <c r="B238" s="318"/>
      <c r="C238" s="318"/>
      <c r="D238" s="318"/>
      <c r="E238" s="318"/>
      <c r="F238" s="318"/>
      <c r="G238" s="318"/>
      <c r="H238" s="318"/>
      <c r="I238" s="318"/>
      <c r="J238" s="318"/>
      <c r="K238" s="318"/>
      <c r="L238" s="318"/>
      <c r="M238" s="318"/>
      <c r="N238" s="318"/>
      <c r="O238" s="318"/>
      <c r="P238" s="318"/>
      <c r="Q238" s="318"/>
      <c r="R238" s="318"/>
      <c r="S238" s="318"/>
      <c r="T238" s="318"/>
      <c r="U238" s="318"/>
      <c r="V238" s="318"/>
      <c r="W238" s="318"/>
      <c r="X238" s="318"/>
    </row>
    <row r="239" spans="2:24">
      <c r="B239" s="318"/>
      <c r="C239" s="318"/>
      <c r="D239" s="318"/>
      <c r="E239" s="318"/>
      <c r="F239" s="318"/>
      <c r="G239" s="318"/>
      <c r="H239" s="318"/>
      <c r="I239" s="318"/>
      <c r="J239" s="318"/>
      <c r="K239" s="318"/>
      <c r="L239" s="318"/>
      <c r="M239" s="318"/>
      <c r="N239" s="318"/>
      <c r="O239" s="318"/>
      <c r="P239" s="318"/>
      <c r="Q239" s="318"/>
      <c r="R239" s="318"/>
      <c r="S239" s="318"/>
      <c r="T239" s="318"/>
      <c r="U239" s="318"/>
      <c r="V239" s="318"/>
      <c r="W239" s="318"/>
      <c r="X239" s="318"/>
    </row>
    <row r="240" spans="2:24">
      <c r="B240" s="318"/>
      <c r="C240" s="318"/>
      <c r="D240" s="318"/>
      <c r="E240" s="318"/>
      <c r="F240" s="318"/>
      <c r="G240" s="318"/>
      <c r="H240" s="318"/>
      <c r="I240" s="318"/>
      <c r="J240" s="318"/>
      <c r="K240" s="318"/>
      <c r="L240" s="318"/>
      <c r="M240" s="318"/>
      <c r="N240" s="318"/>
      <c r="O240" s="318"/>
      <c r="P240" s="318"/>
      <c r="Q240" s="318"/>
      <c r="R240" s="318"/>
      <c r="S240" s="318"/>
      <c r="T240" s="318"/>
      <c r="U240" s="318"/>
      <c r="V240" s="318"/>
      <c r="W240" s="318"/>
      <c r="X240" s="318"/>
    </row>
    <row r="241" spans="2:24">
      <c r="B241" s="318"/>
      <c r="C241" s="318"/>
      <c r="D241" s="318"/>
      <c r="E241" s="318"/>
      <c r="F241" s="318"/>
      <c r="G241" s="318"/>
      <c r="H241" s="318"/>
      <c r="I241" s="318"/>
      <c r="J241" s="318"/>
      <c r="K241" s="318"/>
      <c r="L241" s="318"/>
      <c r="M241" s="318"/>
      <c r="N241" s="318"/>
      <c r="O241" s="318"/>
      <c r="P241" s="318"/>
      <c r="Q241" s="318"/>
      <c r="R241" s="318"/>
      <c r="S241" s="318"/>
      <c r="T241" s="318"/>
      <c r="U241" s="318"/>
      <c r="V241" s="318"/>
      <c r="W241" s="318"/>
      <c r="X241" s="318"/>
    </row>
    <row r="242" spans="2:24">
      <c r="B242" s="318"/>
      <c r="C242" s="318"/>
      <c r="D242" s="318"/>
      <c r="E242" s="318"/>
      <c r="F242" s="318"/>
      <c r="G242" s="318"/>
      <c r="H242" s="318"/>
      <c r="I242" s="318"/>
      <c r="J242" s="318"/>
      <c r="K242" s="318"/>
      <c r="L242" s="318"/>
      <c r="M242" s="318"/>
      <c r="N242" s="318"/>
      <c r="O242" s="318"/>
      <c r="P242" s="318"/>
      <c r="Q242" s="318"/>
      <c r="R242" s="318"/>
      <c r="S242" s="318"/>
      <c r="T242" s="318"/>
      <c r="U242" s="318"/>
      <c r="V242" s="318"/>
      <c r="W242" s="318"/>
      <c r="X242" s="318"/>
    </row>
    <row r="243" spans="2:24">
      <c r="B243" s="318"/>
      <c r="C243" s="318"/>
      <c r="D243" s="318"/>
      <c r="E243" s="318"/>
      <c r="F243" s="318"/>
      <c r="G243" s="318"/>
      <c r="H243" s="318"/>
      <c r="I243" s="318"/>
      <c r="J243" s="318"/>
      <c r="K243" s="318"/>
      <c r="L243" s="318"/>
      <c r="M243" s="318"/>
      <c r="N243" s="318"/>
      <c r="O243" s="318"/>
      <c r="P243" s="318"/>
      <c r="Q243" s="318"/>
      <c r="R243" s="318"/>
      <c r="S243" s="318"/>
      <c r="T243" s="318"/>
      <c r="U243" s="318"/>
      <c r="V243" s="318"/>
      <c r="W243" s="318"/>
      <c r="X243" s="318"/>
    </row>
    <row r="244" spans="2:24">
      <c r="B244" s="318"/>
      <c r="C244" s="318"/>
      <c r="D244" s="318"/>
      <c r="E244" s="318"/>
      <c r="F244" s="318"/>
      <c r="G244" s="318"/>
      <c r="H244" s="318"/>
      <c r="I244" s="318"/>
      <c r="J244" s="318"/>
      <c r="K244" s="318"/>
      <c r="L244" s="318"/>
      <c r="M244" s="318"/>
      <c r="N244" s="318"/>
      <c r="O244" s="318"/>
      <c r="P244" s="318"/>
      <c r="Q244" s="318"/>
      <c r="R244" s="318"/>
      <c r="S244" s="318"/>
      <c r="T244" s="318"/>
      <c r="U244" s="318"/>
      <c r="V244" s="318"/>
      <c r="W244" s="318"/>
      <c r="X244" s="318"/>
    </row>
    <row r="245" spans="2:24">
      <c r="B245" s="318"/>
      <c r="C245" s="318"/>
      <c r="D245" s="318"/>
      <c r="E245" s="318"/>
      <c r="F245" s="318"/>
      <c r="G245" s="318"/>
      <c r="H245" s="318"/>
      <c r="I245" s="318"/>
      <c r="J245" s="318"/>
      <c r="K245" s="318"/>
      <c r="L245" s="318"/>
      <c r="M245" s="318"/>
      <c r="N245" s="318"/>
      <c r="O245" s="318"/>
      <c r="P245" s="318"/>
      <c r="Q245" s="318"/>
      <c r="R245" s="318"/>
      <c r="S245" s="318"/>
      <c r="T245" s="318"/>
      <c r="U245" s="318"/>
      <c r="V245" s="318"/>
      <c r="W245" s="318"/>
      <c r="X245" s="318"/>
    </row>
    <row r="246" spans="2:24">
      <c r="B246" s="318"/>
      <c r="C246" s="318"/>
      <c r="D246" s="318"/>
      <c r="E246" s="318"/>
      <c r="F246" s="318"/>
      <c r="G246" s="318"/>
      <c r="H246" s="318"/>
      <c r="I246" s="318"/>
      <c r="J246" s="318"/>
      <c r="K246" s="318"/>
      <c r="L246" s="318"/>
      <c r="M246" s="318"/>
      <c r="N246" s="318"/>
      <c r="O246" s="318"/>
      <c r="P246" s="318"/>
      <c r="Q246" s="318"/>
      <c r="R246" s="318"/>
      <c r="S246" s="318"/>
      <c r="T246" s="318"/>
      <c r="U246" s="318"/>
      <c r="V246" s="318"/>
      <c r="W246" s="318"/>
      <c r="X246" s="318"/>
    </row>
    <row r="247" spans="2:24">
      <c r="B247" s="318"/>
      <c r="C247" s="318"/>
      <c r="D247" s="318"/>
      <c r="E247" s="318"/>
      <c r="F247" s="318"/>
      <c r="G247" s="318"/>
      <c r="H247" s="318"/>
      <c r="I247" s="318"/>
      <c r="J247" s="318"/>
      <c r="K247" s="318"/>
      <c r="L247" s="318"/>
      <c r="M247" s="318"/>
      <c r="N247" s="318"/>
      <c r="O247" s="318"/>
      <c r="P247" s="318"/>
      <c r="Q247" s="318"/>
      <c r="R247" s="318"/>
      <c r="S247" s="318"/>
      <c r="T247" s="318"/>
      <c r="U247" s="318"/>
      <c r="V247" s="318"/>
      <c r="W247" s="318"/>
      <c r="X247" s="318"/>
    </row>
    <row r="248" spans="2:24">
      <c r="B248" s="318"/>
      <c r="C248" s="318"/>
      <c r="D248" s="318"/>
      <c r="E248" s="318"/>
      <c r="F248" s="318"/>
      <c r="G248" s="318"/>
      <c r="H248" s="318"/>
      <c r="I248" s="318"/>
      <c r="J248" s="318"/>
      <c r="K248" s="318"/>
      <c r="L248" s="318"/>
      <c r="M248" s="318"/>
      <c r="N248" s="318"/>
      <c r="O248" s="318"/>
      <c r="P248" s="318"/>
      <c r="Q248" s="318"/>
      <c r="R248" s="318"/>
      <c r="S248" s="318"/>
      <c r="T248" s="318"/>
      <c r="U248" s="318"/>
      <c r="V248" s="318"/>
      <c r="W248" s="318"/>
      <c r="X248" s="318"/>
    </row>
    <row r="249" spans="2:24">
      <c r="B249" s="318"/>
      <c r="C249" s="318"/>
      <c r="D249" s="318"/>
      <c r="E249" s="318"/>
      <c r="F249" s="318"/>
      <c r="G249" s="318"/>
      <c r="H249" s="318"/>
      <c r="I249" s="318"/>
      <c r="J249" s="318"/>
      <c r="K249" s="318"/>
      <c r="L249" s="318"/>
      <c r="M249" s="318"/>
      <c r="N249" s="318"/>
      <c r="O249" s="318"/>
      <c r="P249" s="318"/>
      <c r="Q249" s="318"/>
      <c r="R249" s="318"/>
      <c r="S249" s="318"/>
      <c r="T249" s="318"/>
      <c r="U249" s="318"/>
      <c r="V249" s="318"/>
      <c r="W249" s="318"/>
      <c r="X249" s="318"/>
    </row>
    <row r="250" spans="2:24">
      <c r="B250" s="318"/>
      <c r="C250" s="318"/>
      <c r="D250" s="318"/>
      <c r="E250" s="318"/>
      <c r="F250" s="318"/>
      <c r="G250" s="318"/>
      <c r="H250" s="318"/>
      <c r="I250" s="318"/>
      <c r="J250" s="318"/>
      <c r="K250" s="318"/>
      <c r="L250" s="318"/>
      <c r="M250" s="318"/>
      <c r="N250" s="318"/>
      <c r="O250" s="318"/>
      <c r="P250" s="318"/>
      <c r="Q250" s="318"/>
      <c r="R250" s="318"/>
      <c r="S250" s="318"/>
      <c r="T250" s="318"/>
      <c r="U250" s="318"/>
      <c r="V250" s="318"/>
      <c r="W250" s="318"/>
      <c r="X250" s="318"/>
    </row>
    <row r="251" spans="2:24">
      <c r="B251" s="318"/>
      <c r="C251" s="318"/>
      <c r="D251" s="318"/>
      <c r="E251" s="318"/>
      <c r="F251" s="318"/>
      <c r="G251" s="318"/>
      <c r="H251" s="318"/>
      <c r="I251" s="318"/>
      <c r="J251" s="318"/>
      <c r="K251" s="318"/>
      <c r="L251" s="318"/>
      <c r="M251" s="318"/>
      <c r="N251" s="318"/>
      <c r="O251" s="318"/>
      <c r="P251" s="318"/>
      <c r="Q251" s="318"/>
      <c r="R251" s="318"/>
      <c r="S251" s="318"/>
      <c r="T251" s="318"/>
      <c r="U251" s="318"/>
      <c r="V251" s="318"/>
      <c r="W251" s="318"/>
      <c r="X251" s="318"/>
    </row>
    <row r="252" spans="2:24">
      <c r="B252" s="318"/>
      <c r="C252" s="318"/>
      <c r="D252" s="318"/>
      <c r="E252" s="318"/>
      <c r="F252" s="318"/>
      <c r="G252" s="318"/>
      <c r="H252" s="318"/>
      <c r="I252" s="318"/>
      <c r="J252" s="318"/>
      <c r="K252" s="318"/>
      <c r="L252" s="318"/>
      <c r="M252" s="318"/>
      <c r="N252" s="318"/>
      <c r="O252" s="318"/>
      <c r="P252" s="318"/>
      <c r="Q252" s="318"/>
      <c r="R252" s="318"/>
      <c r="S252" s="318"/>
      <c r="T252" s="318"/>
      <c r="U252" s="318"/>
      <c r="V252" s="318"/>
      <c r="W252" s="318"/>
      <c r="X252" s="318"/>
    </row>
    <row r="253" spans="2:24">
      <c r="B253" s="318"/>
      <c r="C253" s="318"/>
      <c r="D253" s="318"/>
      <c r="E253" s="318"/>
      <c r="F253" s="318"/>
      <c r="G253" s="318"/>
      <c r="H253" s="318"/>
      <c r="I253" s="318"/>
      <c r="J253" s="318"/>
      <c r="K253" s="318"/>
      <c r="L253" s="318"/>
      <c r="M253" s="318"/>
      <c r="N253" s="318"/>
      <c r="O253" s="318"/>
      <c r="P253" s="318"/>
      <c r="Q253" s="318"/>
      <c r="R253" s="318"/>
      <c r="S253" s="318"/>
      <c r="T253" s="318"/>
      <c r="U253" s="318"/>
      <c r="V253" s="318"/>
      <c r="W253" s="318"/>
      <c r="X253" s="318"/>
    </row>
    <row r="254" spans="2:24">
      <c r="B254" s="318"/>
      <c r="C254" s="318"/>
      <c r="D254" s="318"/>
      <c r="E254" s="318"/>
      <c r="F254" s="318"/>
      <c r="G254" s="318"/>
      <c r="H254" s="318"/>
      <c r="I254" s="318"/>
      <c r="J254" s="318"/>
      <c r="K254" s="318"/>
      <c r="L254" s="318"/>
      <c r="M254" s="318"/>
      <c r="N254" s="318"/>
      <c r="O254" s="318"/>
      <c r="P254" s="318"/>
      <c r="Q254" s="318"/>
      <c r="R254" s="318"/>
      <c r="S254" s="318"/>
      <c r="T254" s="318"/>
      <c r="U254" s="318"/>
      <c r="V254" s="318"/>
      <c r="W254" s="318"/>
      <c r="X254" s="318"/>
    </row>
    <row r="255" spans="2:24">
      <c r="B255" s="318"/>
      <c r="C255" s="318"/>
      <c r="D255" s="318"/>
      <c r="E255" s="318"/>
      <c r="F255" s="318"/>
      <c r="G255" s="318"/>
      <c r="H255" s="318"/>
      <c r="I255" s="318"/>
      <c r="J255" s="318"/>
      <c r="K255" s="318"/>
      <c r="L255" s="318"/>
      <c r="M255" s="318"/>
      <c r="N255" s="318"/>
      <c r="O255" s="318"/>
      <c r="P255" s="318"/>
      <c r="Q255" s="318"/>
      <c r="R255" s="318"/>
      <c r="S255" s="318"/>
      <c r="T255" s="318"/>
      <c r="U255" s="318"/>
      <c r="V255" s="318"/>
      <c r="W255" s="318"/>
      <c r="X255" s="318"/>
    </row>
    <row r="256" spans="2:24">
      <c r="B256" s="318"/>
      <c r="C256" s="318"/>
      <c r="D256" s="318"/>
      <c r="E256" s="318"/>
      <c r="F256" s="318"/>
      <c r="G256" s="318"/>
      <c r="H256" s="318"/>
      <c r="I256" s="318"/>
      <c r="J256" s="318"/>
      <c r="K256" s="318"/>
      <c r="L256" s="318"/>
      <c r="M256" s="318"/>
      <c r="N256" s="318"/>
      <c r="O256" s="318"/>
      <c r="P256" s="318"/>
      <c r="Q256" s="318"/>
      <c r="R256" s="318"/>
      <c r="S256" s="318"/>
      <c r="T256" s="318"/>
      <c r="U256" s="318"/>
      <c r="V256" s="318"/>
      <c r="W256" s="318"/>
      <c r="X256" s="318"/>
    </row>
    <row r="257" spans="2:24">
      <c r="B257" s="318"/>
      <c r="C257" s="318"/>
      <c r="D257" s="318"/>
      <c r="E257" s="318"/>
      <c r="F257" s="318"/>
      <c r="G257" s="318"/>
      <c r="H257" s="318"/>
      <c r="I257" s="318"/>
      <c r="J257" s="318"/>
      <c r="K257" s="318"/>
      <c r="L257" s="318"/>
      <c r="M257" s="318"/>
      <c r="N257" s="318"/>
      <c r="O257" s="318"/>
      <c r="P257" s="318"/>
      <c r="Q257" s="318"/>
      <c r="R257" s="318"/>
      <c r="S257" s="318"/>
      <c r="T257" s="318"/>
      <c r="U257" s="318"/>
      <c r="V257" s="318"/>
      <c r="W257" s="318"/>
      <c r="X257" s="318"/>
    </row>
    <row r="258" spans="2:24">
      <c r="B258" s="318"/>
      <c r="C258" s="318"/>
      <c r="D258" s="318"/>
      <c r="E258" s="318"/>
      <c r="F258" s="318"/>
      <c r="G258" s="318"/>
      <c r="H258" s="318"/>
      <c r="I258" s="318"/>
      <c r="J258" s="318"/>
      <c r="K258" s="318"/>
      <c r="L258" s="318"/>
      <c r="M258" s="318"/>
      <c r="N258" s="318"/>
      <c r="O258" s="318"/>
      <c r="P258" s="318"/>
      <c r="Q258" s="318"/>
      <c r="R258" s="318"/>
      <c r="S258" s="318"/>
      <c r="T258" s="318"/>
      <c r="U258" s="318"/>
      <c r="V258" s="318"/>
      <c r="W258" s="318"/>
      <c r="X258" s="318"/>
    </row>
    <row r="259" spans="2:24">
      <c r="B259" s="318"/>
      <c r="C259" s="318"/>
      <c r="D259" s="318"/>
      <c r="E259" s="318"/>
      <c r="F259" s="318"/>
      <c r="G259" s="318"/>
      <c r="H259" s="318"/>
      <c r="I259" s="318"/>
      <c r="J259" s="318"/>
      <c r="K259" s="318"/>
      <c r="L259" s="318"/>
      <c r="M259" s="318"/>
      <c r="N259" s="318"/>
      <c r="O259" s="318"/>
      <c r="P259" s="318"/>
      <c r="Q259" s="318"/>
      <c r="R259" s="318"/>
      <c r="S259" s="318"/>
      <c r="T259" s="318"/>
      <c r="U259" s="318"/>
      <c r="V259" s="318"/>
      <c r="W259" s="318"/>
      <c r="X259" s="318"/>
    </row>
    <row r="260" spans="2:24">
      <c r="B260" s="318"/>
      <c r="C260" s="318"/>
      <c r="D260" s="318"/>
      <c r="E260" s="318"/>
      <c r="F260" s="318"/>
      <c r="G260" s="318"/>
      <c r="H260" s="318"/>
      <c r="I260" s="318"/>
      <c r="J260" s="318"/>
      <c r="K260" s="318"/>
      <c r="L260" s="318"/>
      <c r="M260" s="318"/>
      <c r="N260" s="318"/>
      <c r="O260" s="318"/>
      <c r="P260" s="318"/>
      <c r="Q260" s="318"/>
      <c r="R260" s="318"/>
      <c r="S260" s="318"/>
      <c r="T260" s="318"/>
      <c r="U260" s="318"/>
      <c r="V260" s="318"/>
      <c r="W260" s="318"/>
      <c r="X260" s="318"/>
    </row>
    <row r="261" spans="2:24">
      <c r="B261" s="318"/>
      <c r="C261" s="318"/>
      <c r="D261" s="318"/>
      <c r="E261" s="318"/>
      <c r="F261" s="318"/>
      <c r="G261" s="318"/>
      <c r="H261" s="318"/>
      <c r="I261" s="318"/>
      <c r="J261" s="318"/>
      <c r="K261" s="318"/>
      <c r="L261" s="318"/>
      <c r="M261" s="318"/>
      <c r="N261" s="318"/>
      <c r="O261" s="318"/>
      <c r="P261" s="318"/>
      <c r="Q261" s="318"/>
      <c r="R261" s="318"/>
      <c r="S261" s="318"/>
      <c r="T261" s="318"/>
      <c r="U261" s="318"/>
      <c r="V261" s="318"/>
      <c r="W261" s="318"/>
      <c r="X261" s="318"/>
    </row>
    <row r="262" spans="2:24">
      <c r="B262" s="318"/>
      <c r="C262" s="318"/>
      <c r="D262" s="318"/>
      <c r="E262" s="318"/>
      <c r="F262" s="318"/>
      <c r="G262" s="318"/>
      <c r="H262" s="318"/>
      <c r="I262" s="318"/>
      <c r="J262" s="318"/>
      <c r="K262" s="318"/>
      <c r="L262" s="318"/>
      <c r="M262" s="318"/>
      <c r="N262" s="318"/>
      <c r="O262" s="318"/>
      <c r="P262" s="318"/>
      <c r="Q262" s="318"/>
      <c r="R262" s="318"/>
      <c r="S262" s="318"/>
      <c r="T262" s="318"/>
      <c r="U262" s="318"/>
      <c r="V262" s="318"/>
      <c r="W262" s="318"/>
      <c r="X262" s="318"/>
    </row>
    <row r="263" spans="2:24">
      <c r="B263" s="318"/>
      <c r="C263" s="318"/>
      <c r="D263" s="318"/>
      <c r="E263" s="318"/>
      <c r="F263" s="318"/>
      <c r="G263" s="318"/>
      <c r="H263" s="318"/>
      <c r="I263" s="318"/>
      <c r="J263" s="318"/>
      <c r="K263" s="318"/>
      <c r="L263" s="318"/>
      <c r="M263" s="318"/>
      <c r="N263" s="318"/>
      <c r="O263" s="318"/>
      <c r="P263" s="318"/>
      <c r="Q263" s="318"/>
      <c r="R263" s="318"/>
      <c r="S263" s="318"/>
      <c r="T263" s="318"/>
      <c r="U263" s="318"/>
      <c r="V263" s="318"/>
      <c r="W263" s="318"/>
      <c r="X263" s="318"/>
    </row>
    <row r="264" spans="2:24">
      <c r="B264" s="318"/>
      <c r="C264" s="318"/>
      <c r="D264" s="318"/>
      <c r="E264" s="318"/>
      <c r="F264" s="318"/>
      <c r="G264" s="318"/>
      <c r="H264" s="318"/>
      <c r="I264" s="318"/>
      <c r="J264" s="318"/>
      <c r="K264" s="318"/>
      <c r="L264" s="318"/>
      <c r="M264" s="318"/>
      <c r="N264" s="318"/>
      <c r="O264" s="318"/>
      <c r="P264" s="318"/>
      <c r="Q264" s="318"/>
      <c r="R264" s="318"/>
      <c r="S264" s="318"/>
      <c r="T264" s="318"/>
      <c r="U264" s="318"/>
      <c r="V264" s="318"/>
      <c r="W264" s="318"/>
      <c r="X264" s="318"/>
    </row>
    <row r="265" spans="2:24">
      <c r="B265" s="318"/>
      <c r="C265" s="318"/>
      <c r="D265" s="318"/>
      <c r="E265" s="318"/>
      <c r="F265" s="318"/>
      <c r="G265" s="318"/>
      <c r="H265" s="318"/>
      <c r="I265" s="318"/>
      <c r="J265" s="318"/>
      <c r="K265" s="318"/>
      <c r="L265" s="318"/>
      <c r="M265" s="318"/>
      <c r="N265" s="318"/>
      <c r="O265" s="318"/>
      <c r="P265" s="318"/>
      <c r="Q265" s="318"/>
      <c r="R265" s="318"/>
      <c r="S265" s="318"/>
      <c r="T265" s="318"/>
      <c r="U265" s="318"/>
      <c r="V265" s="318"/>
      <c r="W265" s="318"/>
      <c r="X265" s="318"/>
    </row>
    <row r="266" spans="2:24">
      <c r="B266" s="318"/>
      <c r="C266" s="318"/>
      <c r="D266" s="318"/>
      <c r="E266" s="318"/>
      <c r="F266" s="318"/>
      <c r="G266" s="318"/>
      <c r="H266" s="318"/>
      <c r="I266" s="318"/>
      <c r="J266" s="318"/>
      <c r="K266" s="318"/>
      <c r="L266" s="318"/>
      <c r="M266" s="318"/>
      <c r="N266" s="318"/>
      <c r="O266" s="318"/>
      <c r="P266" s="318"/>
      <c r="Q266" s="318"/>
      <c r="R266" s="318"/>
      <c r="S266" s="318"/>
      <c r="T266" s="318"/>
      <c r="U266" s="318"/>
      <c r="V266" s="318"/>
      <c r="W266" s="318"/>
      <c r="X266" s="318"/>
    </row>
    <row r="267" spans="2:24">
      <c r="B267" s="318"/>
      <c r="C267" s="318"/>
      <c r="D267" s="318"/>
      <c r="E267" s="318"/>
      <c r="F267" s="318"/>
      <c r="G267" s="318"/>
      <c r="H267" s="318"/>
      <c r="I267" s="318"/>
      <c r="J267" s="318"/>
      <c r="K267" s="318"/>
      <c r="L267" s="318"/>
      <c r="M267" s="318"/>
      <c r="N267" s="318"/>
      <c r="O267" s="318"/>
      <c r="P267" s="318"/>
      <c r="Q267" s="318"/>
      <c r="R267" s="318"/>
      <c r="S267" s="318"/>
      <c r="T267" s="318"/>
      <c r="U267" s="318"/>
      <c r="V267" s="318"/>
      <c r="W267" s="318"/>
      <c r="X267" s="318"/>
    </row>
    <row r="268" spans="2:24">
      <c r="B268" s="318"/>
      <c r="C268" s="318"/>
      <c r="D268" s="318"/>
      <c r="E268" s="318"/>
      <c r="F268" s="318"/>
      <c r="G268" s="318"/>
      <c r="H268" s="318"/>
      <c r="I268" s="318"/>
      <c r="J268" s="318"/>
      <c r="K268" s="318"/>
      <c r="L268" s="318"/>
      <c r="M268" s="318"/>
      <c r="N268" s="318"/>
      <c r="O268" s="318"/>
      <c r="P268" s="318"/>
      <c r="Q268" s="318"/>
      <c r="R268" s="318"/>
      <c r="S268" s="318"/>
      <c r="T268" s="318"/>
      <c r="U268" s="318"/>
      <c r="V268" s="318"/>
      <c r="W268" s="318"/>
      <c r="X268" s="318"/>
    </row>
    <row r="269" spans="2:24">
      <c r="B269" s="318"/>
      <c r="C269" s="318"/>
      <c r="D269" s="318"/>
      <c r="E269" s="318"/>
      <c r="F269" s="318"/>
      <c r="G269" s="318"/>
      <c r="H269" s="318"/>
      <c r="I269" s="318"/>
      <c r="J269" s="318"/>
      <c r="K269" s="318"/>
      <c r="L269" s="318"/>
      <c r="M269" s="318"/>
      <c r="N269" s="318"/>
      <c r="O269" s="318"/>
      <c r="P269" s="318"/>
      <c r="Q269" s="318"/>
      <c r="R269" s="318"/>
      <c r="S269" s="318"/>
      <c r="T269" s="318"/>
      <c r="U269" s="318"/>
      <c r="V269" s="318"/>
      <c r="W269" s="318"/>
      <c r="X269" s="318"/>
    </row>
    <row r="270" spans="2:24">
      <c r="B270" s="318"/>
      <c r="C270" s="318"/>
      <c r="D270" s="318"/>
      <c r="E270" s="318"/>
      <c r="F270" s="318"/>
      <c r="G270" s="318"/>
      <c r="H270" s="318"/>
      <c r="I270" s="318"/>
      <c r="J270" s="318"/>
      <c r="K270" s="318"/>
      <c r="L270" s="318"/>
      <c r="M270" s="318"/>
      <c r="N270" s="318"/>
      <c r="O270" s="318"/>
      <c r="P270" s="318"/>
      <c r="Q270" s="318"/>
      <c r="R270" s="318"/>
      <c r="S270" s="318"/>
      <c r="T270" s="318"/>
      <c r="U270" s="318"/>
      <c r="V270" s="318"/>
      <c r="W270" s="318"/>
      <c r="X270" s="318"/>
    </row>
    <row r="271" spans="2:24">
      <c r="B271" s="318"/>
      <c r="C271" s="318"/>
      <c r="D271" s="318"/>
      <c r="E271" s="318"/>
      <c r="F271" s="318"/>
      <c r="G271" s="318"/>
      <c r="H271" s="318"/>
      <c r="I271" s="318"/>
      <c r="J271" s="318"/>
      <c r="K271" s="318"/>
      <c r="L271" s="318"/>
      <c r="M271" s="318"/>
      <c r="N271" s="318"/>
      <c r="O271" s="318"/>
      <c r="P271" s="318"/>
      <c r="Q271" s="318"/>
      <c r="R271" s="318"/>
      <c r="S271" s="318"/>
      <c r="T271" s="318"/>
      <c r="U271" s="318"/>
      <c r="V271" s="318"/>
      <c r="W271" s="318"/>
      <c r="X271" s="318"/>
    </row>
    <row r="272" spans="2:24">
      <c r="B272" s="318"/>
      <c r="C272" s="318"/>
      <c r="D272" s="318"/>
      <c r="E272" s="318"/>
      <c r="F272" s="318"/>
      <c r="G272" s="318"/>
      <c r="H272" s="318"/>
      <c r="I272" s="318"/>
      <c r="J272" s="318"/>
      <c r="K272" s="318"/>
      <c r="L272" s="318"/>
      <c r="M272" s="318"/>
      <c r="N272" s="318"/>
      <c r="O272" s="318"/>
      <c r="P272" s="318"/>
      <c r="Q272" s="318"/>
      <c r="R272" s="318"/>
      <c r="S272" s="318"/>
      <c r="T272" s="318"/>
      <c r="U272" s="318"/>
      <c r="V272" s="318"/>
      <c r="W272" s="318"/>
      <c r="X272" s="318"/>
    </row>
    <row r="273" spans="2:24">
      <c r="B273" s="318"/>
      <c r="C273" s="318"/>
      <c r="D273" s="318"/>
      <c r="E273" s="318"/>
      <c r="F273" s="318"/>
      <c r="G273" s="318"/>
      <c r="H273" s="318"/>
      <c r="I273" s="318"/>
      <c r="J273" s="318"/>
      <c r="K273" s="318"/>
      <c r="L273" s="318"/>
      <c r="M273" s="318"/>
      <c r="N273" s="318"/>
      <c r="O273" s="318"/>
      <c r="P273" s="318"/>
      <c r="Q273" s="318"/>
      <c r="R273" s="318"/>
      <c r="S273" s="318"/>
      <c r="T273" s="318"/>
      <c r="U273" s="318"/>
      <c r="V273" s="318"/>
      <c r="W273" s="318"/>
      <c r="X273" s="318"/>
    </row>
    <row r="274" spans="2:24">
      <c r="B274" s="318"/>
      <c r="C274" s="318"/>
      <c r="D274" s="318"/>
      <c r="E274" s="318"/>
      <c r="F274" s="318"/>
      <c r="G274" s="318"/>
      <c r="H274" s="318"/>
      <c r="I274" s="318"/>
      <c r="J274" s="318"/>
      <c r="K274" s="318"/>
      <c r="L274" s="318"/>
      <c r="M274" s="318"/>
      <c r="N274" s="318"/>
      <c r="O274" s="318"/>
      <c r="P274" s="318"/>
      <c r="Q274" s="318"/>
      <c r="R274" s="318"/>
      <c r="S274" s="318"/>
      <c r="T274" s="318"/>
      <c r="U274" s="318"/>
      <c r="V274" s="318"/>
      <c r="W274" s="318"/>
      <c r="X274" s="318"/>
    </row>
  </sheetData>
  <sheetProtection algorithmName="SHA-512" hashValue="aXedc9E8qLWVOhFGixB7wJqNPT7PwHsrgXnxiiBD1lD6fmB0ezOMxrKkGbet2JYwJBCCq/BcYbTIVZNN8uMGbQ==" saltValue="lHhkQw88/6o9FY0eqiR3og==" spinCount="100000" sheet="1" selectLockedCells="1"/>
  <mergeCells count="176">
    <mergeCell ref="B6:X6"/>
    <mergeCell ref="V8:X8"/>
    <mergeCell ref="V7:X7"/>
    <mergeCell ref="E8:P8"/>
    <mergeCell ref="C14:G14"/>
    <mergeCell ref="H14:I14"/>
    <mergeCell ref="J14:X14"/>
    <mergeCell ref="C15:G15"/>
    <mergeCell ref="H15:I15"/>
    <mergeCell ref="J15:X15"/>
    <mergeCell ref="B10:X10"/>
    <mergeCell ref="B11:O11"/>
    <mergeCell ref="Q11:S11"/>
    <mergeCell ref="U11:X11"/>
    <mergeCell ref="B12:X12"/>
    <mergeCell ref="C13:G13"/>
    <mergeCell ref="H13:I13"/>
    <mergeCell ref="J13:X13"/>
    <mergeCell ref="B18:X18"/>
    <mergeCell ref="P21:X21"/>
    <mergeCell ref="C22:X22"/>
    <mergeCell ref="C23:X23"/>
    <mergeCell ref="C19:N19"/>
    <mergeCell ref="D16:G16"/>
    <mergeCell ref="H16:I16"/>
    <mergeCell ref="J16:X16"/>
    <mergeCell ref="B17:O17"/>
    <mergeCell ref="Q17:S17"/>
    <mergeCell ref="U17:X17"/>
    <mergeCell ref="C24:F24"/>
    <mergeCell ref="G24:H24"/>
    <mergeCell ref="I24:O24"/>
    <mergeCell ref="P24:Q24"/>
    <mergeCell ref="R24:X24"/>
    <mergeCell ref="B25:B26"/>
    <mergeCell ref="C25:F26"/>
    <mergeCell ref="G25:H25"/>
    <mergeCell ref="I25:O25"/>
    <mergeCell ref="Q25:R25"/>
    <mergeCell ref="C27:X27"/>
    <mergeCell ref="C28:X28"/>
    <mergeCell ref="C29:X29"/>
    <mergeCell ref="B30:X31"/>
    <mergeCell ref="B33:X33"/>
    <mergeCell ref="B34:O34"/>
    <mergeCell ref="Q34:S34"/>
    <mergeCell ref="U34:X34"/>
    <mergeCell ref="S25:V25"/>
    <mergeCell ref="W25:X25"/>
    <mergeCell ref="G26:H26"/>
    <mergeCell ref="I26:O26"/>
    <mergeCell ref="Q26:R26"/>
    <mergeCell ref="S26:V26"/>
    <mergeCell ref="W26:X26"/>
    <mergeCell ref="C45:X45"/>
    <mergeCell ref="B46:C46"/>
    <mergeCell ref="D46:X46"/>
    <mergeCell ref="C35:X35"/>
    <mergeCell ref="B36:O36"/>
    <mergeCell ref="Q36:S36"/>
    <mergeCell ref="U36:X36"/>
    <mergeCell ref="B38:X42"/>
    <mergeCell ref="B43:X43"/>
    <mergeCell ref="U37:X37"/>
    <mergeCell ref="B69:X69"/>
    <mergeCell ref="C59:O59"/>
    <mergeCell ref="Q59:X59"/>
    <mergeCell ref="B60:X60"/>
    <mergeCell ref="B61:O61"/>
    <mergeCell ref="Q61:S61"/>
    <mergeCell ref="U61:X61"/>
    <mergeCell ref="B51:X51"/>
    <mergeCell ref="B52:O52"/>
    <mergeCell ref="Q52:S52"/>
    <mergeCell ref="U52:X52"/>
    <mergeCell ref="C53:X53"/>
    <mergeCell ref="B54:X58"/>
    <mergeCell ref="B70:O70"/>
    <mergeCell ref="Q70:S70"/>
    <mergeCell ref="U70:X70"/>
    <mergeCell ref="B71:X74"/>
    <mergeCell ref="C76:X76"/>
    <mergeCell ref="B77:F77"/>
    <mergeCell ref="G77:S77"/>
    <mergeCell ref="T77:U77"/>
    <mergeCell ref="V77:X77"/>
    <mergeCell ref="B75:X75"/>
    <mergeCell ref="B83:X83"/>
    <mergeCell ref="B84:F84"/>
    <mergeCell ref="G84:P84"/>
    <mergeCell ref="Q84:R84"/>
    <mergeCell ref="S84:X84"/>
    <mergeCell ref="B85:X85"/>
    <mergeCell ref="B78:F78"/>
    <mergeCell ref="G78:S78"/>
    <mergeCell ref="T78:U78"/>
    <mergeCell ref="V78:X78"/>
    <mergeCell ref="B80:X80"/>
    <mergeCell ref="B82:X82"/>
    <mergeCell ref="B81:X81"/>
    <mergeCell ref="B79:X79"/>
    <mergeCell ref="B87:C87"/>
    <mergeCell ref="D87:L87"/>
    <mergeCell ref="M87:N87"/>
    <mergeCell ref="O87:Q87"/>
    <mergeCell ref="S87:U87"/>
    <mergeCell ref="V87:X87"/>
    <mergeCell ref="E86:F86"/>
    <mergeCell ref="G86:I86"/>
    <mergeCell ref="J86:K86"/>
    <mergeCell ref="L86:N86"/>
    <mergeCell ref="O86:Q86"/>
    <mergeCell ref="R86:T86"/>
    <mergeCell ref="B92:X92"/>
    <mergeCell ref="B93:C93"/>
    <mergeCell ref="D93:L93"/>
    <mergeCell ref="M93:N93"/>
    <mergeCell ref="O93:Q93"/>
    <mergeCell ref="S93:U93"/>
    <mergeCell ref="V93:X93"/>
    <mergeCell ref="B88:F88"/>
    <mergeCell ref="G88:T88"/>
    <mergeCell ref="V88:X88"/>
    <mergeCell ref="B89:X89"/>
    <mergeCell ref="B90:G90"/>
    <mergeCell ref="H90:P90"/>
    <mergeCell ref="Q90:R90"/>
    <mergeCell ref="S90:X90"/>
    <mergeCell ref="B105:X105"/>
    <mergeCell ref="B106:X106"/>
    <mergeCell ref="B107:X107"/>
    <mergeCell ref="B5:X5"/>
    <mergeCell ref="B8:D8"/>
    <mergeCell ref="B7:D7"/>
    <mergeCell ref="Q8:U8"/>
    <mergeCell ref="O7:R7"/>
    <mergeCell ref="E7:M7"/>
    <mergeCell ref="B99:X99"/>
    <mergeCell ref="B100:X100"/>
    <mergeCell ref="B101:X101"/>
    <mergeCell ref="B102:X102"/>
    <mergeCell ref="B103:X103"/>
    <mergeCell ref="B104:X104"/>
    <mergeCell ref="B94:F94"/>
    <mergeCell ref="G94:T94"/>
    <mergeCell ref="V94:X94"/>
    <mergeCell ref="B96:X96"/>
    <mergeCell ref="B97:X97"/>
    <mergeCell ref="B98:X98"/>
    <mergeCell ref="B95:X95"/>
    <mergeCell ref="B91:G91"/>
    <mergeCell ref="H91:X91"/>
    <mergeCell ref="B4:X4"/>
    <mergeCell ref="B3:X3"/>
    <mergeCell ref="B2:X2"/>
    <mergeCell ref="B9:X9"/>
    <mergeCell ref="B32:X32"/>
    <mergeCell ref="B68:X68"/>
    <mergeCell ref="P20:X20"/>
    <mergeCell ref="P19:X19"/>
    <mergeCell ref="C21:N21"/>
    <mergeCell ref="C20:N20"/>
    <mergeCell ref="B62:X63"/>
    <mergeCell ref="C64:X64"/>
    <mergeCell ref="C65:X65"/>
    <mergeCell ref="C66:X66"/>
    <mergeCell ref="C67:X67"/>
    <mergeCell ref="C47:X47"/>
    <mergeCell ref="B48:C48"/>
    <mergeCell ref="D48:X48"/>
    <mergeCell ref="C49:X49"/>
    <mergeCell ref="B50:C50"/>
    <mergeCell ref="D50:X50"/>
    <mergeCell ref="B44:O44"/>
    <mergeCell ref="Q44:S44"/>
    <mergeCell ref="U44:X44"/>
  </mergeCells>
  <pageMargins left="0.5" right="0.5" top="0.75" bottom="0.75" header="0.3" footer="0.3"/>
  <pageSetup scale="94" fitToHeight="0" orientation="portrait" horizontalDpi="360" verticalDpi="360" r:id="rId1"/>
  <rowBreaks count="2" manualBreakCount="2">
    <brk id="68" min="1" max="23" man="1"/>
    <brk id="95"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BD96067F-3A08-42B7-9401-245483BAD983}">
          <x14:formula1>
            <xm:f>Lists!$L$1:$L$2</xm:f>
          </x14:formula1>
          <xm:sqref>P11 T11 B13 B14 B15 B16 P17 T17 B19 B20 B21 B22 O19 O20 O21 B24 B25:B26 B27 B28 B35 P34 T34 P36 T36 N37 P37 R37 P44 T44 B45 B47 B49 P52 T52 B53 B59 P59 P61 T61 B64 B65 B66 B67 P70 T70 B76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11</vt:i4>
      </vt:variant>
    </vt:vector>
  </HeadingPairs>
  <TitlesOfParts>
    <vt:vector size="32" baseType="lpstr">
      <vt:lpstr>START HERE</vt:lpstr>
      <vt:lpstr>Project Information</vt:lpstr>
      <vt:lpstr>Work Scope</vt:lpstr>
      <vt:lpstr>Data Entry TR Review</vt:lpstr>
      <vt:lpstr>Project Score</vt:lpstr>
      <vt:lpstr>Electrification</vt:lpstr>
      <vt:lpstr>HVAC Tier 2 Incentive Table</vt:lpstr>
      <vt:lpstr>Ancillary Costs</vt:lpstr>
      <vt:lpstr>Disclaimer Form</vt:lpstr>
      <vt:lpstr>Measures</vt:lpstr>
      <vt:lpstr>Lists</vt:lpstr>
      <vt:lpstr>Test Form</vt:lpstr>
      <vt:lpstr>Old Test Form</vt:lpstr>
      <vt:lpstr>WH Bill Analysis</vt:lpstr>
      <vt:lpstr>Dashboard_FS</vt:lpstr>
      <vt:lpstr>Algorithms_FS</vt:lpstr>
      <vt:lpstr>Backup_FS</vt:lpstr>
      <vt:lpstr>WNCF Form</vt:lpstr>
      <vt:lpstr>HE-PY24 Pricing</vt:lpstr>
      <vt:lpstr>H&amp;S-PY24 Pricing</vt:lpstr>
      <vt:lpstr>Revisions</vt:lpstr>
      <vt:lpstr>'Ancillary Costs'!Print_Area</vt:lpstr>
      <vt:lpstr>'Disclaimer Form'!Print_Area</vt:lpstr>
      <vt:lpstr>Electrification!Print_Area</vt:lpstr>
      <vt:lpstr>'H&amp;S-PY24 Pricing'!Print_Area</vt:lpstr>
      <vt:lpstr>'Old Test Form'!Print_Area</vt:lpstr>
      <vt:lpstr>'Project Information'!Print_Area</vt:lpstr>
      <vt:lpstr>'START HERE'!Print_Area</vt:lpstr>
      <vt:lpstr>'WH Bill Analysis'!Print_Area</vt:lpstr>
      <vt:lpstr>'WNCF Form'!Print_Area</vt:lpstr>
      <vt:lpstr>'Work Scope'!Print_Area</vt:lpstr>
      <vt:lpstr>'HE-PY24 Pricing'!Print_Titles</vt:lpstr>
    </vt:vector>
  </TitlesOfParts>
  <Company>Leidos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DeSignor, Caryn</dc:creator>
  <cp:lastModifiedBy>DeSignor, Caryn [US-US]</cp:lastModifiedBy>
  <cp:lastPrinted>2024-05-03T14:55:56Z</cp:lastPrinted>
  <dcterms:created xsi:type="dcterms:W3CDTF">2022-12-29T22:42:10Z</dcterms:created>
  <dcterms:modified xsi:type="dcterms:W3CDTF">2024-06-05T18:31:28Z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968a81f-7ed4-4faa-9408-9652e001dd96_Enabled">
    <vt:lpwstr>true</vt:lpwstr>
  </property>
  <property fmtid="{D5CDD505-2E9C-101B-9397-08002B2CF9AE}" pid="3" name="MSIP_Label_c968a81f-7ed4-4faa-9408-9652e001dd96_SetDate">
    <vt:lpwstr>2022-12-29T23:50:39Z</vt:lpwstr>
  </property>
  <property fmtid="{D5CDD505-2E9C-101B-9397-08002B2CF9AE}" pid="4" name="MSIP_Label_c968a81f-7ed4-4faa-9408-9652e001dd96_Method">
    <vt:lpwstr>Privileged</vt:lpwstr>
  </property>
  <property fmtid="{D5CDD505-2E9C-101B-9397-08002B2CF9AE}" pid="5" name="MSIP_Label_c968a81f-7ed4-4faa-9408-9652e001dd96_Name">
    <vt:lpwstr>Unrestricted</vt:lpwstr>
  </property>
  <property fmtid="{D5CDD505-2E9C-101B-9397-08002B2CF9AE}" pid="6" name="MSIP_Label_c968a81f-7ed4-4faa-9408-9652e001dd96_SiteId">
    <vt:lpwstr>b64da4ac-e800-4cfc-8931-e607f720a1b8</vt:lpwstr>
  </property>
  <property fmtid="{D5CDD505-2E9C-101B-9397-08002B2CF9AE}" pid="7" name="MSIP_Label_c968a81f-7ed4-4faa-9408-9652e001dd96_ActionId">
    <vt:lpwstr>57531d4c-caef-4125-ac2a-446073671968</vt:lpwstr>
  </property>
  <property fmtid="{D5CDD505-2E9C-101B-9397-08002B2CF9AE}" pid="8" name="MSIP_Label_c968a81f-7ed4-4faa-9408-9652e001dd96_ContentBits">
    <vt:lpwstr>0</vt:lpwstr>
  </property>
</Properties>
</file>